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lek\OneDrive\Рабочий стол\НОБД СШ7\Аттестация 2023-2024\"/>
    </mc:Choice>
  </mc:AlternateContent>
  <bookViews>
    <workbookView xWindow="0" yWindow="0" windowWidth="23040" windowHeight="8784"/>
  </bookViews>
  <sheets>
    <sheet name="Контингент " sheetId="1" r:id="rId1"/>
  </sheets>
  <definedNames>
    <definedName name="_xlnm._FilterDatabase" localSheetId="0" hidden="1">'Контингент '!$A$1:$GN$902</definedName>
  </definedNames>
  <calcPr calcId="0"/>
</workbook>
</file>

<file path=xl/calcChain.xml><?xml version="1.0" encoding="utf-8"?>
<calcChain xmlns="http://schemas.openxmlformats.org/spreadsheetml/2006/main">
  <c r="C2" i="1" l="1"/>
  <c r="R2" i="1"/>
  <c r="S2" i="1"/>
  <c r="T2" i="1"/>
  <c r="U2" i="1"/>
  <c r="AC2" i="1"/>
  <c r="AD2" i="1"/>
  <c r="AE2" i="1"/>
  <c r="AF2" i="1"/>
  <c r="AH2" i="1"/>
  <c r="AV2" i="1"/>
  <c r="C3" i="1"/>
  <c r="R3" i="1"/>
  <c r="S3" i="1"/>
  <c r="T3" i="1"/>
  <c r="U3" i="1"/>
  <c r="AC3" i="1"/>
  <c r="AD3" i="1"/>
  <c r="AH3" i="1"/>
  <c r="C4" i="1"/>
  <c r="R4" i="1"/>
  <c r="S4" i="1"/>
  <c r="T4" i="1"/>
  <c r="U4" i="1"/>
  <c r="AC4" i="1"/>
  <c r="AD4" i="1"/>
  <c r="AH4" i="1"/>
  <c r="AV4" i="1"/>
  <c r="C5" i="1"/>
  <c r="R5" i="1"/>
  <c r="S5" i="1"/>
  <c r="T5" i="1"/>
  <c r="U5" i="1"/>
  <c r="AC5" i="1"/>
  <c r="AD5" i="1"/>
  <c r="AH5" i="1"/>
  <c r="C6" i="1"/>
  <c r="R6" i="1"/>
  <c r="S6" i="1"/>
  <c r="T6" i="1"/>
  <c r="U6" i="1"/>
  <c r="AC6" i="1"/>
  <c r="AD6" i="1"/>
  <c r="AH6" i="1"/>
  <c r="C7" i="1"/>
  <c r="R7" i="1"/>
  <c r="S7" i="1"/>
  <c r="T7" i="1"/>
  <c r="U7" i="1"/>
  <c r="AC7" i="1"/>
  <c r="AD7" i="1"/>
  <c r="AH7" i="1"/>
  <c r="C8" i="1"/>
  <c r="R8" i="1"/>
  <c r="S8" i="1"/>
  <c r="T8" i="1"/>
  <c r="U8" i="1"/>
  <c r="AC8" i="1"/>
  <c r="AD8" i="1"/>
  <c r="AH8" i="1"/>
  <c r="C9" i="1"/>
  <c r="R9" i="1"/>
  <c r="S9" i="1"/>
  <c r="T9" i="1"/>
  <c r="U9" i="1"/>
  <c r="AC9" i="1"/>
  <c r="AD9" i="1"/>
  <c r="AH9" i="1"/>
  <c r="AV9" i="1"/>
  <c r="C10" i="1"/>
  <c r="R10" i="1"/>
  <c r="S10" i="1"/>
  <c r="T10" i="1"/>
  <c r="U10" i="1"/>
  <c r="AC10" i="1"/>
  <c r="AD10" i="1"/>
  <c r="AH10" i="1"/>
  <c r="C11" i="1"/>
  <c r="R11" i="1"/>
  <c r="S11" i="1"/>
  <c r="T11" i="1"/>
  <c r="U11" i="1"/>
  <c r="AC11" i="1"/>
  <c r="AD11" i="1"/>
  <c r="AH11" i="1"/>
  <c r="C12" i="1"/>
  <c r="R12" i="1"/>
  <c r="S12" i="1"/>
  <c r="T12" i="1"/>
  <c r="U12" i="1"/>
  <c r="AC12" i="1"/>
  <c r="AD12" i="1"/>
  <c r="AH12" i="1"/>
  <c r="C13" i="1"/>
  <c r="R13" i="1"/>
  <c r="S13" i="1"/>
  <c r="T13" i="1"/>
  <c r="U13" i="1"/>
  <c r="AC13" i="1"/>
  <c r="AD13" i="1"/>
  <c r="AE13" i="1"/>
  <c r="AF13" i="1"/>
  <c r="AH13" i="1"/>
  <c r="C14" i="1"/>
  <c r="R14" i="1"/>
  <c r="S14" i="1"/>
  <c r="T14" i="1"/>
  <c r="U14" i="1"/>
  <c r="AC14" i="1"/>
  <c r="AD14" i="1"/>
  <c r="C15" i="1"/>
  <c r="R15" i="1"/>
  <c r="S15" i="1"/>
  <c r="T15" i="1"/>
  <c r="U15" i="1"/>
  <c r="AC15" i="1"/>
  <c r="AD15" i="1"/>
  <c r="AH15" i="1"/>
  <c r="C16" i="1"/>
  <c r="R16" i="1"/>
  <c r="S16" i="1"/>
  <c r="T16" i="1"/>
  <c r="U16" i="1"/>
  <c r="AC16" i="1"/>
  <c r="AD16" i="1"/>
  <c r="AH16" i="1"/>
  <c r="C17" i="1"/>
  <c r="R17" i="1"/>
  <c r="S17" i="1"/>
  <c r="T17" i="1"/>
  <c r="U17" i="1"/>
  <c r="AC17" i="1"/>
  <c r="AD17" i="1"/>
  <c r="AH17" i="1"/>
  <c r="C18" i="1"/>
  <c r="R18" i="1"/>
  <c r="S18" i="1"/>
  <c r="T18" i="1"/>
  <c r="U18" i="1"/>
  <c r="AC18" i="1"/>
  <c r="AD18" i="1"/>
  <c r="AE18" i="1"/>
  <c r="AF18" i="1"/>
  <c r="AH18" i="1"/>
  <c r="C19" i="1"/>
  <c r="R19" i="1"/>
  <c r="S19" i="1"/>
  <c r="T19" i="1"/>
  <c r="U19" i="1"/>
  <c r="AC19" i="1"/>
  <c r="AD19" i="1"/>
  <c r="AE19" i="1"/>
  <c r="AF19" i="1"/>
  <c r="AH19" i="1"/>
  <c r="AS19" i="1"/>
  <c r="AV19" i="1"/>
  <c r="BA19" i="1"/>
  <c r="BB19" i="1"/>
  <c r="BC19" i="1"/>
  <c r="BD19" i="1"/>
  <c r="BE19" i="1"/>
  <c r="CZ19" i="1"/>
  <c r="C20" i="1"/>
  <c r="R20" i="1"/>
  <c r="S20" i="1"/>
  <c r="T20" i="1"/>
  <c r="U20" i="1"/>
  <c r="AC20" i="1"/>
  <c r="AD20" i="1"/>
  <c r="AH20" i="1"/>
  <c r="C21" i="1"/>
  <c r="R21" i="1"/>
  <c r="S21" i="1"/>
  <c r="T21" i="1"/>
  <c r="U21" i="1"/>
  <c r="AC21" i="1"/>
  <c r="AD21" i="1"/>
  <c r="AH21" i="1"/>
  <c r="C22" i="1"/>
  <c r="R22" i="1"/>
  <c r="S22" i="1"/>
  <c r="T22" i="1"/>
  <c r="U22" i="1"/>
  <c r="AC22" i="1"/>
  <c r="AD22" i="1"/>
  <c r="AE22" i="1"/>
  <c r="AF22" i="1"/>
  <c r="AH22" i="1"/>
  <c r="C23" i="1"/>
  <c r="R23" i="1"/>
  <c r="S23" i="1"/>
  <c r="T23" i="1"/>
  <c r="U23" i="1"/>
  <c r="AC23" i="1"/>
  <c r="AD23" i="1"/>
  <c r="AH23" i="1"/>
  <c r="C24" i="1"/>
  <c r="R24" i="1"/>
  <c r="S24" i="1"/>
  <c r="T24" i="1"/>
  <c r="U24" i="1"/>
  <c r="AC24" i="1"/>
  <c r="AD24" i="1"/>
  <c r="AE24" i="1"/>
  <c r="AF24" i="1"/>
  <c r="C25" i="1"/>
  <c r="R25" i="1"/>
  <c r="S25" i="1"/>
  <c r="T25" i="1"/>
  <c r="U25" i="1"/>
  <c r="AC25" i="1"/>
  <c r="AD25" i="1"/>
  <c r="C26" i="1"/>
  <c r="R26" i="1"/>
  <c r="S26" i="1"/>
  <c r="T26" i="1"/>
  <c r="U26" i="1"/>
  <c r="AC26" i="1"/>
  <c r="AD26" i="1"/>
  <c r="AE26" i="1"/>
  <c r="AF26" i="1"/>
  <c r="C27" i="1"/>
  <c r="R27" i="1"/>
  <c r="S27" i="1"/>
  <c r="T27" i="1"/>
  <c r="U27" i="1"/>
  <c r="AC27" i="1"/>
  <c r="AD27" i="1"/>
  <c r="C28" i="1"/>
  <c r="R28" i="1"/>
  <c r="S28" i="1"/>
  <c r="T28" i="1"/>
  <c r="U28" i="1"/>
  <c r="AC28" i="1"/>
  <c r="AD28" i="1"/>
  <c r="AH28" i="1"/>
  <c r="C29" i="1"/>
  <c r="R29" i="1"/>
  <c r="S29" i="1"/>
  <c r="T29" i="1"/>
  <c r="U29" i="1"/>
  <c r="AC29" i="1"/>
  <c r="AD29" i="1"/>
  <c r="AH29" i="1"/>
  <c r="C30" i="1"/>
  <c r="R30" i="1"/>
  <c r="S30" i="1"/>
  <c r="T30" i="1"/>
  <c r="U30" i="1"/>
  <c r="AC30" i="1"/>
  <c r="AD30" i="1"/>
  <c r="C31" i="1"/>
  <c r="R31" i="1"/>
  <c r="S31" i="1"/>
  <c r="T31" i="1"/>
  <c r="U31" i="1"/>
  <c r="AC31" i="1"/>
  <c r="AD31" i="1"/>
  <c r="AE31" i="1"/>
  <c r="AF31" i="1"/>
  <c r="AH31" i="1"/>
  <c r="AS31" i="1"/>
  <c r="AV31" i="1"/>
  <c r="BA31" i="1"/>
  <c r="BB31" i="1"/>
  <c r="BC31" i="1"/>
  <c r="BD31" i="1"/>
  <c r="BE31" i="1"/>
  <c r="CZ31" i="1"/>
  <c r="DC31" i="1"/>
  <c r="DD31" i="1"/>
  <c r="C32" i="1"/>
  <c r="R32" i="1"/>
  <c r="S32" i="1"/>
  <c r="T32" i="1"/>
  <c r="U32" i="1"/>
  <c r="AC32" i="1"/>
  <c r="AD32" i="1"/>
  <c r="C33" i="1"/>
  <c r="R33" i="1"/>
  <c r="S33" i="1"/>
  <c r="T33" i="1"/>
  <c r="U33" i="1"/>
  <c r="AC33" i="1"/>
  <c r="AD33" i="1"/>
  <c r="C34" i="1"/>
  <c r="R34" i="1"/>
  <c r="S34" i="1"/>
  <c r="T34" i="1"/>
  <c r="U34" i="1"/>
  <c r="AC34" i="1"/>
  <c r="AD34" i="1"/>
  <c r="AE34" i="1"/>
  <c r="AF34" i="1"/>
  <c r="AH34" i="1"/>
  <c r="CZ34" i="1"/>
  <c r="C35" i="1"/>
  <c r="R35" i="1"/>
  <c r="S35" i="1"/>
  <c r="T35" i="1"/>
  <c r="U35" i="1"/>
  <c r="AC35" i="1"/>
  <c r="AD35" i="1"/>
  <c r="AH35" i="1"/>
  <c r="C36" i="1"/>
  <c r="R36" i="1"/>
  <c r="S36" i="1"/>
  <c r="T36" i="1"/>
  <c r="U36" i="1"/>
  <c r="AC36" i="1"/>
  <c r="AD36" i="1"/>
  <c r="AE36" i="1"/>
  <c r="AF36" i="1"/>
  <c r="AH36" i="1"/>
  <c r="CZ36" i="1"/>
  <c r="C37" i="1"/>
  <c r="R37" i="1"/>
  <c r="S37" i="1"/>
  <c r="T37" i="1"/>
  <c r="U37" i="1"/>
  <c r="AC37" i="1"/>
  <c r="AD37" i="1"/>
  <c r="AH37" i="1"/>
  <c r="C38" i="1"/>
  <c r="R38" i="1"/>
  <c r="S38" i="1"/>
  <c r="T38" i="1"/>
  <c r="U38" i="1"/>
  <c r="AC38" i="1"/>
  <c r="AD38" i="1"/>
  <c r="AH38" i="1"/>
  <c r="C39" i="1"/>
  <c r="R39" i="1"/>
  <c r="S39" i="1"/>
  <c r="T39" i="1"/>
  <c r="U39" i="1"/>
  <c r="AC39" i="1"/>
  <c r="AD39" i="1"/>
  <c r="AH39" i="1"/>
  <c r="C40" i="1"/>
  <c r="R40" i="1"/>
  <c r="S40" i="1"/>
  <c r="T40" i="1"/>
  <c r="U40" i="1"/>
  <c r="AC40" i="1"/>
  <c r="AD40" i="1"/>
  <c r="C41" i="1"/>
  <c r="R41" i="1"/>
  <c r="S41" i="1"/>
  <c r="T41" i="1"/>
  <c r="U41" i="1"/>
  <c r="AC41" i="1"/>
  <c r="AD41" i="1"/>
  <c r="C42" i="1"/>
  <c r="R42" i="1"/>
  <c r="S42" i="1"/>
  <c r="T42" i="1"/>
  <c r="U42" i="1"/>
  <c r="AC42" i="1"/>
  <c r="AD42" i="1"/>
  <c r="C43" i="1"/>
  <c r="R43" i="1"/>
  <c r="S43" i="1"/>
  <c r="T43" i="1"/>
  <c r="U43" i="1"/>
  <c r="AC43" i="1"/>
  <c r="AD43" i="1"/>
  <c r="C44" i="1"/>
  <c r="R44" i="1"/>
  <c r="S44" i="1"/>
  <c r="T44" i="1"/>
  <c r="U44" i="1"/>
  <c r="AC44" i="1"/>
  <c r="AD44" i="1"/>
  <c r="AE44" i="1"/>
  <c r="AF44" i="1"/>
  <c r="C45" i="1"/>
  <c r="R45" i="1"/>
  <c r="S45" i="1"/>
  <c r="T45" i="1"/>
  <c r="U45" i="1"/>
  <c r="AC45" i="1"/>
  <c r="AD45" i="1"/>
  <c r="C46" i="1"/>
  <c r="R46" i="1"/>
  <c r="S46" i="1"/>
  <c r="T46" i="1"/>
  <c r="U46" i="1"/>
  <c r="AC46" i="1"/>
  <c r="AD46" i="1"/>
  <c r="AV46" i="1"/>
  <c r="C47" i="1"/>
  <c r="R47" i="1"/>
  <c r="S47" i="1"/>
  <c r="T47" i="1"/>
  <c r="U47" i="1"/>
  <c r="AC47" i="1"/>
  <c r="AD47" i="1"/>
  <c r="AE47" i="1"/>
  <c r="AF47" i="1"/>
  <c r="C48" i="1"/>
  <c r="R48" i="1"/>
  <c r="S48" i="1"/>
  <c r="T48" i="1"/>
  <c r="U48" i="1"/>
  <c r="AC48" i="1"/>
  <c r="AD48" i="1"/>
  <c r="C49" i="1"/>
  <c r="R49" i="1"/>
  <c r="S49" i="1"/>
  <c r="T49" i="1"/>
  <c r="U49" i="1"/>
  <c r="AC49" i="1"/>
  <c r="AD49" i="1"/>
  <c r="C50" i="1"/>
  <c r="R50" i="1"/>
  <c r="S50" i="1"/>
  <c r="T50" i="1"/>
  <c r="U50" i="1"/>
  <c r="AC50" i="1"/>
  <c r="AD50" i="1"/>
  <c r="AH50" i="1"/>
  <c r="C51" i="1"/>
  <c r="R51" i="1"/>
  <c r="S51" i="1"/>
  <c r="T51" i="1"/>
  <c r="U51" i="1"/>
  <c r="AC51" i="1"/>
  <c r="AD51" i="1"/>
  <c r="C52" i="1"/>
  <c r="R52" i="1"/>
  <c r="S52" i="1"/>
  <c r="T52" i="1"/>
  <c r="U52" i="1"/>
  <c r="AC52" i="1"/>
  <c r="AD52" i="1"/>
  <c r="C53" i="1"/>
  <c r="R53" i="1"/>
  <c r="S53" i="1"/>
  <c r="T53" i="1"/>
  <c r="U53" i="1"/>
  <c r="AC53" i="1"/>
  <c r="AD53" i="1"/>
  <c r="BC53" i="1"/>
  <c r="BD53" i="1"/>
  <c r="C54" i="1"/>
  <c r="R54" i="1"/>
  <c r="S54" i="1"/>
  <c r="T54" i="1"/>
  <c r="U54" i="1"/>
  <c r="AC54" i="1"/>
  <c r="AD54" i="1"/>
  <c r="AE54" i="1"/>
  <c r="AF54" i="1"/>
  <c r="C55" i="1"/>
  <c r="R55" i="1"/>
  <c r="S55" i="1"/>
  <c r="T55" i="1"/>
  <c r="U55" i="1"/>
  <c r="AC55" i="1"/>
  <c r="AD55" i="1"/>
  <c r="C56" i="1"/>
  <c r="R56" i="1"/>
  <c r="S56" i="1"/>
  <c r="T56" i="1"/>
  <c r="U56" i="1"/>
  <c r="AC56" i="1"/>
  <c r="AD56" i="1"/>
  <c r="C57" i="1"/>
  <c r="R57" i="1"/>
  <c r="S57" i="1"/>
  <c r="T57" i="1"/>
  <c r="U57" i="1"/>
  <c r="AC57" i="1"/>
  <c r="AD57" i="1"/>
  <c r="C58" i="1"/>
  <c r="R58" i="1"/>
  <c r="S58" i="1"/>
  <c r="T58" i="1"/>
  <c r="U58" i="1"/>
  <c r="AC58" i="1"/>
  <c r="AD58" i="1"/>
  <c r="AE58" i="1"/>
  <c r="AF58" i="1"/>
  <c r="AH58" i="1"/>
  <c r="C59" i="1"/>
  <c r="R59" i="1"/>
  <c r="S59" i="1"/>
  <c r="T59" i="1"/>
  <c r="U59" i="1"/>
  <c r="AC59" i="1"/>
  <c r="AD59" i="1"/>
  <c r="AH59" i="1"/>
  <c r="C60" i="1"/>
  <c r="R60" i="1"/>
  <c r="S60" i="1"/>
  <c r="T60" i="1"/>
  <c r="U60" i="1"/>
  <c r="AC60" i="1"/>
  <c r="AD60" i="1"/>
  <c r="AH60" i="1"/>
  <c r="AV60" i="1"/>
  <c r="C61" i="1"/>
  <c r="R61" i="1"/>
  <c r="S61" i="1"/>
  <c r="T61" i="1"/>
  <c r="U61" i="1"/>
  <c r="AC61" i="1"/>
  <c r="AD61" i="1"/>
  <c r="AE61" i="1"/>
  <c r="AF61" i="1"/>
  <c r="CZ61" i="1"/>
  <c r="C62" i="1"/>
  <c r="R62" i="1"/>
  <c r="S62" i="1"/>
  <c r="T62" i="1"/>
  <c r="U62" i="1"/>
  <c r="AC62" i="1"/>
  <c r="AD62" i="1"/>
  <c r="C63" i="1"/>
  <c r="R63" i="1"/>
  <c r="S63" i="1"/>
  <c r="T63" i="1"/>
  <c r="U63" i="1"/>
  <c r="AC63" i="1"/>
  <c r="AD63" i="1"/>
  <c r="AH63" i="1"/>
  <c r="C64" i="1"/>
  <c r="R64" i="1"/>
  <c r="S64" i="1"/>
  <c r="T64" i="1"/>
  <c r="U64" i="1"/>
  <c r="AC64" i="1"/>
  <c r="AD64" i="1"/>
  <c r="AE64" i="1"/>
  <c r="AF64" i="1"/>
  <c r="AV64" i="1"/>
  <c r="C65" i="1"/>
  <c r="R65" i="1"/>
  <c r="S65" i="1"/>
  <c r="T65" i="1"/>
  <c r="U65" i="1"/>
  <c r="AC65" i="1"/>
  <c r="AD65" i="1"/>
  <c r="C66" i="1"/>
  <c r="R66" i="1"/>
  <c r="S66" i="1"/>
  <c r="T66" i="1"/>
  <c r="U66" i="1"/>
  <c r="AC66" i="1"/>
  <c r="AD66" i="1"/>
  <c r="C67" i="1"/>
  <c r="R67" i="1"/>
  <c r="S67" i="1"/>
  <c r="T67" i="1"/>
  <c r="U67" i="1"/>
  <c r="AC67" i="1"/>
  <c r="AD67" i="1"/>
  <c r="AE67" i="1"/>
  <c r="AF67" i="1"/>
  <c r="C68" i="1"/>
  <c r="R68" i="1"/>
  <c r="S68" i="1"/>
  <c r="T68" i="1"/>
  <c r="U68" i="1"/>
  <c r="AC68" i="1"/>
  <c r="AD68" i="1"/>
  <c r="AE68" i="1"/>
  <c r="AF68" i="1"/>
  <c r="C69" i="1"/>
  <c r="R69" i="1"/>
  <c r="S69" i="1"/>
  <c r="T69" i="1"/>
  <c r="U69" i="1"/>
  <c r="AC69" i="1"/>
  <c r="AD69" i="1"/>
  <c r="C70" i="1"/>
  <c r="R70" i="1"/>
  <c r="S70" i="1"/>
  <c r="T70" i="1"/>
  <c r="U70" i="1"/>
  <c r="AC70" i="1"/>
  <c r="AD70" i="1"/>
  <c r="C71" i="1"/>
  <c r="R71" i="1"/>
  <c r="S71" i="1"/>
  <c r="T71" i="1"/>
  <c r="U71" i="1"/>
  <c r="AC71" i="1"/>
  <c r="AD71" i="1"/>
  <c r="C72" i="1"/>
  <c r="R72" i="1"/>
  <c r="S72" i="1"/>
  <c r="T72" i="1"/>
  <c r="U72" i="1"/>
  <c r="AC72" i="1"/>
  <c r="AD72" i="1"/>
  <c r="C73" i="1"/>
  <c r="R73" i="1"/>
  <c r="S73" i="1"/>
  <c r="T73" i="1"/>
  <c r="U73" i="1"/>
  <c r="AC73" i="1"/>
  <c r="AD73" i="1"/>
  <c r="AE73" i="1"/>
  <c r="AF73" i="1"/>
  <c r="CZ73" i="1"/>
  <c r="C74" i="1"/>
  <c r="R74" i="1"/>
  <c r="S74" i="1"/>
  <c r="T74" i="1"/>
  <c r="U74" i="1"/>
  <c r="AC74" i="1"/>
  <c r="AD74" i="1"/>
  <c r="AE74" i="1"/>
  <c r="AF74" i="1"/>
  <c r="C75" i="1"/>
  <c r="R75" i="1"/>
  <c r="S75" i="1"/>
  <c r="T75" i="1"/>
  <c r="U75" i="1"/>
  <c r="AC75" i="1"/>
  <c r="AD75" i="1"/>
  <c r="C76" i="1"/>
  <c r="R76" i="1"/>
  <c r="S76" i="1"/>
  <c r="T76" i="1"/>
  <c r="U76" i="1"/>
  <c r="AC76" i="1"/>
  <c r="AD76" i="1"/>
  <c r="C77" i="1"/>
  <c r="R77" i="1"/>
  <c r="S77" i="1"/>
  <c r="T77" i="1"/>
  <c r="U77" i="1"/>
  <c r="AC77" i="1"/>
  <c r="AD77" i="1"/>
  <c r="AE77" i="1"/>
  <c r="AF77" i="1"/>
  <c r="C78" i="1"/>
  <c r="R78" i="1"/>
  <c r="S78" i="1"/>
  <c r="T78" i="1"/>
  <c r="U78" i="1"/>
  <c r="AC78" i="1"/>
  <c r="AD78" i="1"/>
  <c r="C79" i="1"/>
  <c r="R79" i="1"/>
  <c r="S79" i="1"/>
  <c r="T79" i="1"/>
  <c r="U79" i="1"/>
  <c r="AC79" i="1"/>
  <c r="AD79" i="1"/>
  <c r="AH79" i="1"/>
  <c r="C80" i="1"/>
  <c r="R80" i="1"/>
  <c r="S80" i="1"/>
  <c r="T80" i="1"/>
  <c r="U80" i="1"/>
  <c r="AC80" i="1"/>
  <c r="AD80" i="1"/>
  <c r="C81" i="1"/>
  <c r="R81" i="1"/>
  <c r="S81" i="1"/>
  <c r="T81" i="1"/>
  <c r="U81" i="1"/>
  <c r="AC81" i="1"/>
  <c r="AD81" i="1"/>
  <c r="AE81" i="1"/>
  <c r="AF81" i="1"/>
  <c r="AH81" i="1"/>
  <c r="C82" i="1"/>
  <c r="R82" i="1"/>
  <c r="S82" i="1"/>
  <c r="T82" i="1"/>
  <c r="U82" i="1"/>
  <c r="AC82" i="1"/>
  <c r="AD82" i="1"/>
  <c r="C83" i="1"/>
  <c r="R83" i="1"/>
  <c r="S83" i="1"/>
  <c r="T83" i="1"/>
  <c r="U83" i="1"/>
  <c r="AC83" i="1"/>
  <c r="AD83" i="1"/>
  <c r="C84" i="1"/>
  <c r="R84" i="1"/>
  <c r="S84" i="1"/>
  <c r="T84" i="1"/>
  <c r="U84" i="1"/>
  <c r="AC84" i="1"/>
  <c r="AD84" i="1"/>
  <c r="AE84" i="1"/>
  <c r="AF84" i="1"/>
  <c r="C85" i="1"/>
  <c r="R85" i="1"/>
  <c r="S85" i="1"/>
  <c r="T85" i="1"/>
  <c r="U85" i="1"/>
  <c r="AC85" i="1"/>
  <c r="AD85" i="1"/>
  <c r="AE85" i="1"/>
  <c r="AF85" i="1"/>
  <c r="C86" i="1"/>
  <c r="R86" i="1"/>
  <c r="S86" i="1"/>
  <c r="T86" i="1"/>
  <c r="U86" i="1"/>
  <c r="AC86" i="1"/>
  <c r="AD86" i="1"/>
  <c r="C87" i="1"/>
  <c r="R87" i="1"/>
  <c r="S87" i="1"/>
  <c r="T87" i="1"/>
  <c r="U87" i="1"/>
  <c r="AC87" i="1"/>
  <c r="AD87" i="1"/>
  <c r="C88" i="1"/>
  <c r="R88" i="1"/>
  <c r="S88" i="1"/>
  <c r="T88" i="1"/>
  <c r="U88" i="1"/>
  <c r="AC88" i="1"/>
  <c r="AD88" i="1"/>
  <c r="AH88" i="1"/>
  <c r="C89" i="1"/>
  <c r="R89" i="1"/>
  <c r="S89" i="1"/>
  <c r="T89" i="1"/>
  <c r="U89" i="1"/>
  <c r="AC89" i="1"/>
  <c r="AD89" i="1"/>
  <c r="C90" i="1"/>
  <c r="R90" i="1"/>
  <c r="S90" i="1"/>
  <c r="T90" i="1"/>
  <c r="U90" i="1"/>
  <c r="AC90" i="1"/>
  <c r="AD90" i="1"/>
  <c r="AH90" i="1"/>
  <c r="C91" i="1"/>
  <c r="R91" i="1"/>
  <c r="S91" i="1"/>
  <c r="T91" i="1"/>
  <c r="U91" i="1"/>
  <c r="AC91" i="1"/>
  <c r="AD91" i="1"/>
  <c r="AH91" i="1"/>
  <c r="C92" i="1"/>
  <c r="R92" i="1"/>
  <c r="S92" i="1"/>
  <c r="T92" i="1"/>
  <c r="U92" i="1"/>
  <c r="AC92" i="1"/>
  <c r="AD92" i="1"/>
  <c r="C93" i="1"/>
  <c r="R93" i="1"/>
  <c r="S93" i="1"/>
  <c r="T93" i="1"/>
  <c r="U93" i="1"/>
  <c r="AC93" i="1"/>
  <c r="AD93" i="1"/>
  <c r="C94" i="1"/>
  <c r="R94" i="1"/>
  <c r="S94" i="1"/>
  <c r="T94" i="1"/>
  <c r="U94" i="1"/>
  <c r="AC94" i="1"/>
  <c r="AD94" i="1"/>
  <c r="AE94" i="1"/>
  <c r="AF94" i="1"/>
  <c r="C95" i="1"/>
  <c r="R95" i="1"/>
  <c r="S95" i="1"/>
  <c r="T95" i="1"/>
  <c r="U95" i="1"/>
  <c r="AC95" i="1"/>
  <c r="AD95" i="1"/>
  <c r="C96" i="1"/>
  <c r="R96" i="1"/>
  <c r="S96" i="1"/>
  <c r="T96" i="1"/>
  <c r="U96" i="1"/>
  <c r="AC96" i="1"/>
  <c r="AD96" i="1"/>
  <c r="C97" i="1"/>
  <c r="R97" i="1"/>
  <c r="S97" i="1"/>
  <c r="T97" i="1"/>
  <c r="U97" i="1"/>
  <c r="AC97" i="1"/>
  <c r="AD97" i="1"/>
  <c r="AE97" i="1"/>
  <c r="AF97" i="1"/>
  <c r="CZ97" i="1"/>
  <c r="C98" i="1"/>
  <c r="R98" i="1"/>
  <c r="S98" i="1"/>
  <c r="T98" i="1"/>
  <c r="U98" i="1"/>
  <c r="AC98" i="1"/>
  <c r="AD98" i="1"/>
  <c r="AE98" i="1"/>
  <c r="AF98" i="1"/>
  <c r="C99" i="1"/>
  <c r="R99" i="1"/>
  <c r="S99" i="1"/>
  <c r="T99" i="1"/>
  <c r="U99" i="1"/>
  <c r="AC99" i="1"/>
  <c r="AD99" i="1"/>
  <c r="C100" i="1"/>
  <c r="R100" i="1"/>
  <c r="S100" i="1"/>
  <c r="T100" i="1"/>
  <c r="U100" i="1"/>
  <c r="AC100" i="1"/>
  <c r="AD100" i="1"/>
  <c r="AE100" i="1"/>
  <c r="AF100" i="1"/>
  <c r="C101" i="1"/>
  <c r="R101" i="1"/>
  <c r="S101" i="1"/>
  <c r="T101" i="1"/>
  <c r="U101" i="1"/>
  <c r="AC101" i="1"/>
  <c r="AD101" i="1"/>
  <c r="C102" i="1"/>
  <c r="R102" i="1"/>
  <c r="S102" i="1"/>
  <c r="T102" i="1"/>
  <c r="U102" i="1"/>
  <c r="AC102" i="1"/>
  <c r="AD102" i="1"/>
  <c r="AH102" i="1"/>
  <c r="C103" i="1"/>
  <c r="R103" i="1"/>
  <c r="S103" i="1"/>
  <c r="T103" i="1"/>
  <c r="U103" i="1"/>
  <c r="AC103" i="1"/>
  <c r="AD103" i="1"/>
  <c r="AE103" i="1"/>
  <c r="AF103" i="1"/>
  <c r="C104" i="1"/>
  <c r="R104" i="1"/>
  <c r="S104" i="1"/>
  <c r="T104" i="1"/>
  <c r="U104" i="1"/>
  <c r="AC104" i="1"/>
  <c r="AD104" i="1"/>
  <c r="AE104" i="1"/>
  <c r="AF104" i="1"/>
  <c r="C105" i="1"/>
  <c r="R105" i="1"/>
  <c r="S105" i="1"/>
  <c r="T105" i="1"/>
  <c r="U105" i="1"/>
  <c r="AC105" i="1"/>
  <c r="AD105" i="1"/>
  <c r="C106" i="1"/>
  <c r="R106" i="1"/>
  <c r="S106" i="1"/>
  <c r="T106" i="1"/>
  <c r="U106" i="1"/>
  <c r="AC106" i="1"/>
  <c r="AD106" i="1"/>
  <c r="C107" i="1"/>
  <c r="R107" i="1"/>
  <c r="S107" i="1"/>
  <c r="T107" i="1"/>
  <c r="U107" i="1"/>
  <c r="AC107" i="1"/>
  <c r="AD107" i="1"/>
  <c r="C108" i="1"/>
  <c r="R108" i="1"/>
  <c r="S108" i="1"/>
  <c r="T108" i="1"/>
  <c r="U108" i="1"/>
  <c r="AC108" i="1"/>
  <c r="AD108" i="1"/>
  <c r="C109" i="1"/>
  <c r="R109" i="1"/>
  <c r="S109" i="1"/>
  <c r="T109" i="1"/>
  <c r="U109" i="1"/>
  <c r="AC109" i="1"/>
  <c r="AD109" i="1"/>
  <c r="AE109" i="1"/>
  <c r="AF109" i="1"/>
  <c r="C110" i="1"/>
  <c r="R110" i="1"/>
  <c r="S110" i="1"/>
  <c r="T110" i="1"/>
  <c r="U110" i="1"/>
  <c r="AC110" i="1"/>
  <c r="AD110" i="1"/>
  <c r="C111" i="1"/>
  <c r="R111" i="1"/>
  <c r="S111" i="1"/>
  <c r="T111" i="1"/>
  <c r="U111" i="1"/>
  <c r="AC111" i="1"/>
  <c r="AD111" i="1"/>
  <c r="C112" i="1"/>
  <c r="R112" i="1"/>
  <c r="S112" i="1"/>
  <c r="T112" i="1"/>
  <c r="U112" i="1"/>
  <c r="AC112" i="1"/>
  <c r="AD112" i="1"/>
  <c r="C113" i="1"/>
  <c r="R113" i="1"/>
  <c r="S113" i="1"/>
  <c r="T113" i="1"/>
  <c r="U113" i="1"/>
  <c r="AC113" i="1"/>
  <c r="AD113" i="1"/>
  <c r="C114" i="1"/>
  <c r="R114" i="1"/>
  <c r="S114" i="1"/>
  <c r="T114" i="1"/>
  <c r="U114" i="1"/>
  <c r="AC114" i="1"/>
  <c r="AD114" i="1"/>
  <c r="AE114" i="1"/>
  <c r="AF114" i="1"/>
  <c r="C115" i="1"/>
  <c r="R115" i="1"/>
  <c r="S115" i="1"/>
  <c r="T115" i="1"/>
  <c r="U115" i="1"/>
  <c r="AC115" i="1"/>
  <c r="AD115" i="1"/>
  <c r="AE115" i="1"/>
  <c r="AF115" i="1"/>
  <c r="C116" i="1"/>
  <c r="R116" i="1"/>
  <c r="S116" i="1"/>
  <c r="T116" i="1"/>
  <c r="U116" i="1"/>
  <c r="AC116" i="1"/>
  <c r="AD116" i="1"/>
  <c r="C117" i="1"/>
  <c r="R117" i="1"/>
  <c r="S117" i="1"/>
  <c r="T117" i="1"/>
  <c r="U117" i="1"/>
  <c r="AC117" i="1"/>
  <c r="AD117" i="1"/>
  <c r="C118" i="1"/>
  <c r="R118" i="1"/>
  <c r="S118" i="1"/>
  <c r="T118" i="1"/>
  <c r="U118" i="1"/>
  <c r="AC118" i="1"/>
  <c r="AD118" i="1"/>
  <c r="C119" i="1"/>
  <c r="R119" i="1"/>
  <c r="S119" i="1"/>
  <c r="T119" i="1"/>
  <c r="U119" i="1"/>
  <c r="AC119" i="1"/>
  <c r="AD119" i="1"/>
  <c r="AE119" i="1"/>
  <c r="AF119" i="1"/>
  <c r="C120" i="1"/>
  <c r="R120" i="1"/>
  <c r="S120" i="1"/>
  <c r="T120" i="1"/>
  <c r="U120" i="1"/>
  <c r="AC120" i="1"/>
  <c r="AD120" i="1"/>
  <c r="AE120" i="1"/>
  <c r="AF120" i="1"/>
  <c r="DC120" i="1"/>
  <c r="DD120" i="1"/>
  <c r="C121" i="1"/>
  <c r="R121" i="1"/>
  <c r="S121" i="1"/>
  <c r="T121" i="1"/>
  <c r="U121" i="1"/>
  <c r="AC121" i="1"/>
  <c r="AD121" i="1"/>
  <c r="C122" i="1"/>
  <c r="R122" i="1"/>
  <c r="S122" i="1"/>
  <c r="T122" i="1"/>
  <c r="U122" i="1"/>
  <c r="AC122" i="1"/>
  <c r="AD122" i="1"/>
  <c r="AE122" i="1"/>
  <c r="AF122" i="1"/>
  <c r="C123" i="1"/>
  <c r="R123" i="1"/>
  <c r="S123" i="1"/>
  <c r="T123" i="1"/>
  <c r="U123" i="1"/>
  <c r="AC123" i="1"/>
  <c r="AD123" i="1"/>
  <c r="C124" i="1"/>
  <c r="R124" i="1"/>
  <c r="S124" i="1"/>
  <c r="T124" i="1"/>
  <c r="U124" i="1"/>
  <c r="AC124" i="1"/>
  <c r="AD124" i="1"/>
  <c r="AE124" i="1"/>
  <c r="AF124" i="1"/>
  <c r="C125" i="1"/>
  <c r="R125" i="1"/>
  <c r="S125" i="1"/>
  <c r="T125" i="1"/>
  <c r="U125" i="1"/>
  <c r="AC125" i="1"/>
  <c r="AD125" i="1"/>
  <c r="AE125" i="1"/>
  <c r="AF125" i="1"/>
  <c r="C126" i="1"/>
  <c r="R126" i="1"/>
  <c r="S126" i="1"/>
  <c r="T126" i="1"/>
  <c r="U126" i="1"/>
  <c r="AC126" i="1"/>
  <c r="AD126" i="1"/>
  <c r="AE126" i="1"/>
  <c r="AF126" i="1"/>
  <c r="AH126" i="1"/>
  <c r="C127" i="1"/>
  <c r="R127" i="1"/>
  <c r="S127" i="1"/>
  <c r="T127" i="1"/>
  <c r="U127" i="1"/>
  <c r="AC127" i="1"/>
  <c r="AD127" i="1"/>
  <c r="C128" i="1"/>
  <c r="R128" i="1"/>
  <c r="S128" i="1"/>
  <c r="T128" i="1"/>
  <c r="U128" i="1"/>
  <c r="AC128" i="1"/>
  <c r="AD128" i="1"/>
  <c r="C129" i="1"/>
  <c r="R129" i="1"/>
  <c r="S129" i="1"/>
  <c r="T129" i="1"/>
  <c r="U129" i="1"/>
  <c r="AC129" i="1"/>
  <c r="AD129" i="1"/>
  <c r="C130" i="1"/>
  <c r="R130" i="1"/>
  <c r="S130" i="1"/>
  <c r="T130" i="1"/>
  <c r="U130" i="1"/>
  <c r="AC130" i="1"/>
  <c r="AD130" i="1"/>
  <c r="DC130" i="1"/>
  <c r="DD130" i="1"/>
  <c r="C131" i="1"/>
  <c r="R131" i="1"/>
  <c r="S131" i="1"/>
  <c r="T131" i="1"/>
  <c r="U131" i="1"/>
  <c r="AC131" i="1"/>
  <c r="AD131" i="1"/>
  <c r="AE131" i="1"/>
  <c r="AF131" i="1"/>
  <c r="C132" i="1"/>
  <c r="R132" i="1"/>
  <c r="S132" i="1"/>
  <c r="T132" i="1"/>
  <c r="U132" i="1"/>
  <c r="AC132" i="1"/>
  <c r="AD132" i="1"/>
  <c r="DC132" i="1"/>
  <c r="DD132" i="1"/>
  <c r="C133" i="1"/>
  <c r="R133" i="1"/>
  <c r="S133" i="1"/>
  <c r="T133" i="1"/>
  <c r="U133" i="1"/>
  <c r="AC133" i="1"/>
  <c r="AD133" i="1"/>
  <c r="C134" i="1"/>
  <c r="R134" i="1"/>
  <c r="S134" i="1"/>
  <c r="T134" i="1"/>
  <c r="U134" i="1"/>
  <c r="AC134" i="1"/>
  <c r="AD134" i="1"/>
  <c r="AE134" i="1"/>
  <c r="AF134" i="1"/>
  <c r="C135" i="1"/>
  <c r="R135" i="1"/>
  <c r="S135" i="1"/>
  <c r="T135" i="1"/>
  <c r="U135" i="1"/>
  <c r="AC135" i="1"/>
  <c r="AD135" i="1"/>
  <c r="C136" i="1"/>
  <c r="R136" i="1"/>
  <c r="S136" i="1"/>
  <c r="T136" i="1"/>
  <c r="U136" i="1"/>
  <c r="AC136" i="1"/>
  <c r="AD136" i="1"/>
  <c r="C137" i="1"/>
  <c r="R137" i="1"/>
  <c r="S137" i="1"/>
  <c r="T137" i="1"/>
  <c r="U137" i="1"/>
  <c r="AC137" i="1"/>
  <c r="AD137" i="1"/>
  <c r="C138" i="1"/>
  <c r="R138" i="1"/>
  <c r="S138" i="1"/>
  <c r="T138" i="1"/>
  <c r="U138" i="1"/>
  <c r="AC138" i="1"/>
  <c r="AD138" i="1"/>
  <c r="C139" i="1"/>
  <c r="R139" i="1"/>
  <c r="S139" i="1"/>
  <c r="T139" i="1"/>
  <c r="U139" i="1"/>
  <c r="AC139" i="1"/>
  <c r="AD139" i="1"/>
  <c r="C140" i="1"/>
  <c r="R140" i="1"/>
  <c r="S140" i="1"/>
  <c r="T140" i="1"/>
  <c r="U140" i="1"/>
  <c r="AC140" i="1"/>
  <c r="AD140" i="1"/>
  <c r="AE140" i="1"/>
  <c r="AF140" i="1"/>
  <c r="DC140" i="1"/>
  <c r="DD140" i="1"/>
  <c r="C141" i="1"/>
  <c r="R141" i="1"/>
  <c r="S141" i="1"/>
  <c r="T141" i="1"/>
  <c r="U141" i="1"/>
  <c r="AC141" i="1"/>
  <c r="AD141" i="1"/>
  <c r="C142" i="1"/>
  <c r="R142" i="1"/>
  <c r="S142" i="1"/>
  <c r="T142" i="1"/>
  <c r="U142" i="1"/>
  <c r="AC142" i="1"/>
  <c r="AD142" i="1"/>
  <c r="AE142" i="1"/>
  <c r="AF142" i="1"/>
  <c r="DC142" i="1"/>
  <c r="DD142" i="1"/>
  <c r="C143" i="1"/>
  <c r="R143" i="1"/>
  <c r="S143" i="1"/>
  <c r="T143" i="1"/>
  <c r="U143" i="1"/>
  <c r="AC143" i="1"/>
  <c r="AD143" i="1"/>
  <c r="AH143" i="1"/>
  <c r="C144" i="1"/>
  <c r="R144" i="1"/>
  <c r="S144" i="1"/>
  <c r="T144" i="1"/>
  <c r="U144" i="1"/>
  <c r="AC144" i="1"/>
  <c r="AD144" i="1"/>
  <c r="AE144" i="1"/>
  <c r="AF144" i="1"/>
  <c r="C145" i="1"/>
  <c r="R145" i="1"/>
  <c r="S145" i="1"/>
  <c r="T145" i="1"/>
  <c r="U145" i="1"/>
  <c r="AC145" i="1"/>
  <c r="AD145" i="1"/>
  <c r="C146" i="1"/>
  <c r="R146" i="1"/>
  <c r="S146" i="1"/>
  <c r="T146" i="1"/>
  <c r="U146" i="1"/>
  <c r="AC146" i="1"/>
  <c r="AD146" i="1"/>
  <c r="C147" i="1"/>
  <c r="R147" i="1"/>
  <c r="S147" i="1"/>
  <c r="T147" i="1"/>
  <c r="U147" i="1"/>
  <c r="AC147" i="1"/>
  <c r="AD147" i="1"/>
  <c r="AE147" i="1"/>
  <c r="AF147" i="1"/>
  <c r="C148" i="1"/>
  <c r="R148" i="1"/>
  <c r="S148" i="1"/>
  <c r="T148" i="1"/>
  <c r="U148" i="1"/>
  <c r="AC148" i="1"/>
  <c r="AD148" i="1"/>
  <c r="AE148" i="1"/>
  <c r="AF148" i="1"/>
  <c r="C149" i="1"/>
  <c r="R149" i="1"/>
  <c r="S149" i="1"/>
  <c r="T149" i="1"/>
  <c r="U149" i="1"/>
  <c r="AC149" i="1"/>
  <c r="AD149" i="1"/>
  <c r="C150" i="1"/>
  <c r="R150" i="1"/>
  <c r="S150" i="1"/>
  <c r="T150" i="1"/>
  <c r="U150" i="1"/>
  <c r="AC150" i="1"/>
  <c r="AD150" i="1"/>
  <c r="C151" i="1"/>
  <c r="R151" i="1"/>
  <c r="S151" i="1"/>
  <c r="T151" i="1"/>
  <c r="U151" i="1"/>
  <c r="AC151" i="1"/>
  <c r="AD151" i="1"/>
  <c r="DC151" i="1"/>
  <c r="DD151" i="1"/>
  <c r="C152" i="1"/>
  <c r="R152" i="1"/>
  <c r="S152" i="1"/>
  <c r="T152" i="1"/>
  <c r="U152" i="1"/>
  <c r="AC152" i="1"/>
  <c r="AD152" i="1"/>
  <c r="C153" i="1"/>
  <c r="R153" i="1"/>
  <c r="S153" i="1"/>
  <c r="T153" i="1"/>
  <c r="U153" i="1"/>
  <c r="AC153" i="1"/>
  <c r="AD153" i="1"/>
  <c r="AE153" i="1"/>
  <c r="AF153" i="1"/>
  <c r="C154" i="1"/>
  <c r="R154" i="1"/>
  <c r="S154" i="1"/>
  <c r="T154" i="1"/>
  <c r="U154" i="1"/>
  <c r="AC154" i="1"/>
  <c r="AD154" i="1"/>
  <c r="C155" i="1"/>
  <c r="R155" i="1"/>
  <c r="S155" i="1"/>
  <c r="T155" i="1"/>
  <c r="U155" i="1"/>
  <c r="AC155" i="1"/>
  <c r="AD155" i="1"/>
  <c r="AE155" i="1"/>
  <c r="AF155" i="1"/>
  <c r="DC155" i="1"/>
  <c r="DD155" i="1"/>
  <c r="C156" i="1"/>
  <c r="R156" i="1"/>
  <c r="S156" i="1"/>
  <c r="T156" i="1"/>
  <c r="U156" i="1"/>
  <c r="AC156" i="1"/>
  <c r="AD156" i="1"/>
  <c r="AH156" i="1"/>
  <c r="C157" i="1"/>
  <c r="R157" i="1"/>
  <c r="S157" i="1"/>
  <c r="T157" i="1"/>
  <c r="U157" i="1"/>
  <c r="AC157" i="1"/>
  <c r="AD157" i="1"/>
  <c r="AE157" i="1"/>
  <c r="AF157" i="1"/>
  <c r="C158" i="1"/>
  <c r="R158" i="1"/>
  <c r="S158" i="1"/>
  <c r="T158" i="1"/>
  <c r="U158" i="1"/>
  <c r="AC158" i="1"/>
  <c r="AD158" i="1"/>
  <c r="C159" i="1"/>
  <c r="R159" i="1"/>
  <c r="S159" i="1"/>
  <c r="T159" i="1"/>
  <c r="U159" i="1"/>
  <c r="AC159" i="1"/>
  <c r="AD159" i="1"/>
  <c r="C160" i="1"/>
  <c r="R160" i="1"/>
  <c r="S160" i="1"/>
  <c r="T160" i="1"/>
  <c r="U160" i="1"/>
  <c r="AC160" i="1"/>
  <c r="AD160" i="1"/>
  <c r="AE160" i="1"/>
  <c r="AF160" i="1"/>
  <c r="C161" i="1"/>
  <c r="R161" i="1"/>
  <c r="S161" i="1"/>
  <c r="T161" i="1"/>
  <c r="U161" i="1"/>
  <c r="AC161" i="1"/>
  <c r="AD161" i="1"/>
  <c r="C162" i="1"/>
  <c r="R162" i="1"/>
  <c r="S162" i="1"/>
  <c r="T162" i="1"/>
  <c r="U162" i="1"/>
  <c r="AC162" i="1"/>
  <c r="AD162" i="1"/>
  <c r="C163" i="1"/>
  <c r="R163" i="1"/>
  <c r="S163" i="1"/>
  <c r="T163" i="1"/>
  <c r="U163" i="1"/>
  <c r="AC163" i="1"/>
  <c r="AD163" i="1"/>
  <c r="AE163" i="1"/>
  <c r="AF163" i="1"/>
  <c r="C164" i="1"/>
  <c r="R164" i="1"/>
  <c r="S164" i="1"/>
  <c r="T164" i="1"/>
  <c r="U164" i="1"/>
  <c r="AC164" i="1"/>
  <c r="AD164" i="1"/>
  <c r="C165" i="1"/>
  <c r="R165" i="1"/>
  <c r="S165" i="1"/>
  <c r="T165" i="1"/>
  <c r="U165" i="1"/>
  <c r="AC165" i="1"/>
  <c r="AD165" i="1"/>
  <c r="C166" i="1"/>
  <c r="R166" i="1"/>
  <c r="S166" i="1"/>
  <c r="T166" i="1"/>
  <c r="U166" i="1"/>
  <c r="AC166" i="1"/>
  <c r="AD166" i="1"/>
  <c r="C167" i="1"/>
  <c r="R167" i="1"/>
  <c r="S167" i="1"/>
  <c r="T167" i="1"/>
  <c r="U167" i="1"/>
  <c r="AC167" i="1"/>
  <c r="AD167" i="1"/>
  <c r="C168" i="1"/>
  <c r="R168" i="1"/>
  <c r="S168" i="1"/>
  <c r="T168" i="1"/>
  <c r="U168" i="1"/>
  <c r="AC168" i="1"/>
  <c r="AD168" i="1"/>
  <c r="C169" i="1"/>
  <c r="R169" i="1"/>
  <c r="S169" i="1"/>
  <c r="T169" i="1"/>
  <c r="U169" i="1"/>
  <c r="AC169" i="1"/>
  <c r="AD169" i="1"/>
  <c r="C170" i="1"/>
  <c r="R170" i="1"/>
  <c r="S170" i="1"/>
  <c r="T170" i="1"/>
  <c r="U170" i="1"/>
  <c r="AC170" i="1"/>
  <c r="AD170" i="1"/>
  <c r="C171" i="1"/>
  <c r="R171" i="1"/>
  <c r="S171" i="1"/>
  <c r="T171" i="1"/>
  <c r="U171" i="1"/>
  <c r="AC171" i="1"/>
  <c r="AD171" i="1"/>
  <c r="AH171" i="1"/>
  <c r="C172" i="1"/>
  <c r="R172" i="1"/>
  <c r="S172" i="1"/>
  <c r="T172" i="1"/>
  <c r="U172" i="1"/>
  <c r="AC172" i="1"/>
  <c r="AD172" i="1"/>
  <c r="AE172" i="1"/>
  <c r="AF172" i="1"/>
  <c r="C173" i="1"/>
  <c r="R173" i="1"/>
  <c r="S173" i="1"/>
  <c r="T173" i="1"/>
  <c r="U173" i="1"/>
  <c r="AC173" i="1"/>
  <c r="AD173" i="1"/>
  <c r="C174" i="1"/>
  <c r="R174" i="1"/>
  <c r="S174" i="1"/>
  <c r="T174" i="1"/>
  <c r="U174" i="1"/>
  <c r="AC174" i="1"/>
  <c r="AD174" i="1"/>
  <c r="AE174" i="1"/>
  <c r="AF174" i="1"/>
  <c r="C175" i="1"/>
  <c r="R175" i="1"/>
  <c r="S175" i="1"/>
  <c r="T175" i="1"/>
  <c r="U175" i="1"/>
  <c r="AC175" i="1"/>
  <c r="AD175" i="1"/>
  <c r="C176" i="1"/>
  <c r="R176" i="1"/>
  <c r="S176" i="1"/>
  <c r="T176" i="1"/>
  <c r="U176" i="1"/>
  <c r="AC176" i="1"/>
  <c r="AD176" i="1"/>
  <c r="C177" i="1"/>
  <c r="R177" i="1"/>
  <c r="S177" i="1"/>
  <c r="T177" i="1"/>
  <c r="U177" i="1"/>
  <c r="AC177" i="1"/>
  <c r="AD177" i="1"/>
  <c r="DC177" i="1"/>
  <c r="DD177" i="1"/>
  <c r="C178" i="1"/>
  <c r="R178" i="1"/>
  <c r="S178" i="1"/>
  <c r="T178" i="1"/>
  <c r="U178" i="1"/>
  <c r="AC178" i="1"/>
  <c r="AD178" i="1"/>
  <c r="AE178" i="1"/>
  <c r="AF178" i="1"/>
  <c r="DC178" i="1"/>
  <c r="DD178" i="1"/>
  <c r="C179" i="1"/>
  <c r="R179" i="1"/>
  <c r="S179" i="1"/>
  <c r="T179" i="1"/>
  <c r="U179" i="1"/>
  <c r="AC179" i="1"/>
  <c r="AD179" i="1"/>
  <c r="C180" i="1"/>
  <c r="R180" i="1"/>
  <c r="S180" i="1"/>
  <c r="T180" i="1"/>
  <c r="U180" i="1"/>
  <c r="AC180" i="1"/>
  <c r="AD180" i="1"/>
  <c r="AH180" i="1"/>
  <c r="C181" i="1"/>
  <c r="R181" i="1"/>
  <c r="S181" i="1"/>
  <c r="T181" i="1"/>
  <c r="U181" i="1"/>
  <c r="AC181" i="1"/>
  <c r="AD181" i="1"/>
  <c r="C182" i="1"/>
  <c r="R182" i="1"/>
  <c r="S182" i="1"/>
  <c r="T182" i="1"/>
  <c r="U182" i="1"/>
  <c r="AC182" i="1"/>
  <c r="AD182" i="1"/>
  <c r="AH182" i="1"/>
  <c r="C183" i="1"/>
  <c r="R183" i="1"/>
  <c r="S183" i="1"/>
  <c r="T183" i="1"/>
  <c r="U183" i="1"/>
  <c r="AC183" i="1"/>
  <c r="AD183" i="1"/>
  <c r="C184" i="1"/>
  <c r="R184" i="1"/>
  <c r="S184" i="1"/>
  <c r="T184" i="1"/>
  <c r="U184" i="1"/>
  <c r="AC184" i="1"/>
  <c r="AD184" i="1"/>
  <c r="AH184" i="1"/>
  <c r="C185" i="1"/>
  <c r="R185" i="1"/>
  <c r="S185" i="1"/>
  <c r="T185" i="1"/>
  <c r="U185" i="1"/>
  <c r="AC185" i="1"/>
  <c r="AD185" i="1"/>
  <c r="AH185" i="1"/>
  <c r="C186" i="1"/>
  <c r="R186" i="1"/>
  <c r="S186" i="1"/>
  <c r="T186" i="1"/>
  <c r="U186" i="1"/>
  <c r="AC186" i="1"/>
  <c r="AD186" i="1"/>
  <c r="AE186" i="1"/>
  <c r="AF186" i="1"/>
  <c r="AH186" i="1"/>
  <c r="C187" i="1"/>
  <c r="R187" i="1"/>
  <c r="S187" i="1"/>
  <c r="T187" i="1"/>
  <c r="U187" i="1"/>
  <c r="AC187" i="1"/>
  <c r="AD187" i="1"/>
  <c r="AH187" i="1"/>
  <c r="C188" i="1"/>
  <c r="R188" i="1"/>
  <c r="S188" i="1"/>
  <c r="T188" i="1"/>
  <c r="U188" i="1"/>
  <c r="AC188" i="1"/>
  <c r="AD188" i="1"/>
  <c r="C189" i="1"/>
  <c r="R189" i="1"/>
  <c r="S189" i="1"/>
  <c r="T189" i="1"/>
  <c r="U189" i="1"/>
  <c r="AC189" i="1"/>
  <c r="AD189" i="1"/>
  <c r="AE189" i="1"/>
  <c r="AF189" i="1"/>
  <c r="AH189" i="1"/>
  <c r="CZ189" i="1"/>
  <c r="C190" i="1"/>
  <c r="R190" i="1"/>
  <c r="S190" i="1"/>
  <c r="T190" i="1"/>
  <c r="U190" i="1"/>
  <c r="AC190" i="1"/>
  <c r="AD190" i="1"/>
  <c r="C191" i="1"/>
  <c r="R191" i="1"/>
  <c r="S191" i="1"/>
  <c r="T191" i="1"/>
  <c r="U191" i="1"/>
  <c r="AC191" i="1"/>
  <c r="AD191" i="1"/>
  <c r="C192" i="1"/>
  <c r="R192" i="1"/>
  <c r="S192" i="1"/>
  <c r="T192" i="1"/>
  <c r="U192" i="1"/>
  <c r="AC192" i="1"/>
  <c r="AD192" i="1"/>
  <c r="C193" i="1"/>
  <c r="R193" i="1"/>
  <c r="S193" i="1"/>
  <c r="T193" i="1"/>
  <c r="U193" i="1"/>
  <c r="AC193" i="1"/>
  <c r="AD193" i="1"/>
  <c r="C194" i="1"/>
  <c r="R194" i="1"/>
  <c r="S194" i="1"/>
  <c r="T194" i="1"/>
  <c r="U194" i="1"/>
  <c r="AC194" i="1"/>
  <c r="AD194" i="1"/>
  <c r="C195" i="1"/>
  <c r="R195" i="1"/>
  <c r="S195" i="1"/>
  <c r="T195" i="1"/>
  <c r="U195" i="1"/>
  <c r="AC195" i="1"/>
  <c r="AD195" i="1"/>
  <c r="C196" i="1"/>
  <c r="R196" i="1"/>
  <c r="S196" i="1"/>
  <c r="T196" i="1"/>
  <c r="U196" i="1"/>
  <c r="AC196" i="1"/>
  <c r="AD196" i="1"/>
  <c r="C197" i="1"/>
  <c r="R197" i="1"/>
  <c r="S197" i="1"/>
  <c r="T197" i="1"/>
  <c r="U197" i="1"/>
  <c r="AC197" i="1"/>
  <c r="AD197" i="1"/>
  <c r="C198" i="1"/>
  <c r="R198" i="1"/>
  <c r="S198" i="1"/>
  <c r="T198" i="1"/>
  <c r="U198" i="1"/>
  <c r="AC198" i="1"/>
  <c r="AD198" i="1"/>
  <c r="C199" i="1"/>
  <c r="R199" i="1"/>
  <c r="S199" i="1"/>
  <c r="T199" i="1"/>
  <c r="U199" i="1"/>
  <c r="AC199" i="1"/>
  <c r="AD199" i="1"/>
  <c r="C200" i="1"/>
  <c r="R200" i="1"/>
  <c r="S200" i="1"/>
  <c r="T200" i="1"/>
  <c r="U200" i="1"/>
  <c r="AC200" i="1"/>
  <c r="AD200" i="1"/>
  <c r="C201" i="1"/>
  <c r="R201" i="1"/>
  <c r="S201" i="1"/>
  <c r="T201" i="1"/>
  <c r="U201" i="1"/>
  <c r="AC201" i="1"/>
  <c r="AD201" i="1"/>
  <c r="C202" i="1"/>
  <c r="R202" i="1"/>
  <c r="S202" i="1"/>
  <c r="T202" i="1"/>
  <c r="U202" i="1"/>
  <c r="AC202" i="1"/>
  <c r="AD202" i="1"/>
  <c r="AE202" i="1"/>
  <c r="AF202" i="1"/>
  <c r="C203" i="1"/>
  <c r="R203" i="1"/>
  <c r="S203" i="1"/>
  <c r="T203" i="1"/>
  <c r="U203" i="1"/>
  <c r="AC203" i="1"/>
  <c r="AD203" i="1"/>
  <c r="AE203" i="1"/>
  <c r="AF203" i="1"/>
  <c r="C204" i="1"/>
  <c r="R204" i="1"/>
  <c r="S204" i="1"/>
  <c r="T204" i="1"/>
  <c r="U204" i="1"/>
  <c r="AC204" i="1"/>
  <c r="AD204" i="1"/>
  <c r="AE204" i="1"/>
  <c r="AF204" i="1"/>
  <c r="DC204" i="1"/>
  <c r="DD204" i="1"/>
  <c r="C205" i="1"/>
  <c r="R205" i="1"/>
  <c r="S205" i="1"/>
  <c r="T205" i="1"/>
  <c r="U205" i="1"/>
  <c r="AC205" i="1"/>
  <c r="AD205" i="1"/>
  <c r="AE205" i="1"/>
  <c r="AF205" i="1"/>
  <c r="C206" i="1"/>
  <c r="R206" i="1"/>
  <c r="S206" i="1"/>
  <c r="T206" i="1"/>
  <c r="U206" i="1"/>
  <c r="AC206" i="1"/>
  <c r="AD206" i="1"/>
  <c r="C207" i="1"/>
  <c r="R207" i="1"/>
  <c r="S207" i="1"/>
  <c r="T207" i="1"/>
  <c r="U207" i="1"/>
  <c r="AC207" i="1"/>
  <c r="AD207" i="1"/>
  <c r="C208" i="1"/>
  <c r="R208" i="1"/>
  <c r="S208" i="1"/>
  <c r="T208" i="1"/>
  <c r="U208" i="1"/>
  <c r="AC208" i="1"/>
  <c r="AD208" i="1"/>
  <c r="C209" i="1"/>
  <c r="R209" i="1"/>
  <c r="S209" i="1"/>
  <c r="T209" i="1"/>
  <c r="U209" i="1"/>
  <c r="AC209" i="1"/>
  <c r="AD209" i="1"/>
  <c r="C210" i="1"/>
  <c r="R210" i="1"/>
  <c r="S210" i="1"/>
  <c r="T210" i="1"/>
  <c r="U210" i="1"/>
  <c r="AC210" i="1"/>
  <c r="AD210" i="1"/>
  <c r="AE210" i="1"/>
  <c r="AF210" i="1"/>
  <c r="DC210" i="1"/>
  <c r="DD210" i="1"/>
  <c r="C211" i="1"/>
  <c r="R211" i="1"/>
  <c r="S211" i="1"/>
  <c r="T211" i="1"/>
  <c r="U211" i="1"/>
  <c r="AC211" i="1"/>
  <c r="AD211" i="1"/>
  <c r="AE211" i="1"/>
  <c r="AF211" i="1"/>
  <c r="C212" i="1"/>
  <c r="R212" i="1"/>
  <c r="S212" i="1"/>
  <c r="T212" i="1"/>
  <c r="U212" i="1"/>
  <c r="AC212" i="1"/>
  <c r="AD212" i="1"/>
  <c r="C213" i="1"/>
  <c r="R213" i="1"/>
  <c r="S213" i="1"/>
  <c r="T213" i="1"/>
  <c r="U213" i="1"/>
  <c r="AC213" i="1"/>
  <c r="AD213" i="1"/>
  <c r="C214" i="1"/>
  <c r="R214" i="1"/>
  <c r="S214" i="1"/>
  <c r="T214" i="1"/>
  <c r="U214" i="1"/>
  <c r="AC214" i="1"/>
  <c r="AD214" i="1"/>
  <c r="AH214" i="1"/>
  <c r="C215" i="1"/>
  <c r="R215" i="1"/>
  <c r="S215" i="1"/>
  <c r="T215" i="1"/>
  <c r="U215" i="1"/>
  <c r="AC215" i="1"/>
  <c r="AD215" i="1"/>
  <c r="C216" i="1"/>
  <c r="R216" i="1"/>
  <c r="S216" i="1"/>
  <c r="T216" i="1"/>
  <c r="U216" i="1"/>
  <c r="AC216" i="1"/>
  <c r="AD216" i="1"/>
  <c r="AE216" i="1"/>
  <c r="AF216" i="1"/>
  <c r="C217" i="1"/>
  <c r="R217" i="1"/>
  <c r="S217" i="1"/>
  <c r="T217" i="1"/>
  <c r="U217" i="1"/>
  <c r="AC217" i="1"/>
  <c r="AD217" i="1"/>
  <c r="C218" i="1"/>
  <c r="R218" i="1"/>
  <c r="S218" i="1"/>
  <c r="T218" i="1"/>
  <c r="U218" i="1"/>
  <c r="AC218" i="1"/>
  <c r="AD218" i="1"/>
  <c r="AE218" i="1"/>
  <c r="AF218" i="1"/>
  <c r="DC218" i="1"/>
  <c r="DD218" i="1"/>
  <c r="C219" i="1"/>
  <c r="R219" i="1"/>
  <c r="S219" i="1"/>
  <c r="T219" i="1"/>
  <c r="U219" i="1"/>
  <c r="AC219" i="1"/>
  <c r="AD219" i="1"/>
  <c r="C220" i="1"/>
  <c r="R220" i="1"/>
  <c r="S220" i="1"/>
  <c r="T220" i="1"/>
  <c r="U220" i="1"/>
  <c r="AC220" i="1"/>
  <c r="AD220" i="1"/>
  <c r="AE220" i="1"/>
  <c r="AF220" i="1"/>
  <c r="C221" i="1"/>
  <c r="R221" i="1"/>
  <c r="S221" i="1"/>
  <c r="T221" i="1"/>
  <c r="U221" i="1"/>
  <c r="AC221" i="1"/>
  <c r="AD221" i="1"/>
  <c r="C222" i="1"/>
  <c r="R222" i="1"/>
  <c r="S222" i="1"/>
  <c r="T222" i="1"/>
  <c r="U222" i="1"/>
  <c r="AC222" i="1"/>
  <c r="AD222" i="1"/>
  <c r="C223" i="1"/>
  <c r="R223" i="1"/>
  <c r="S223" i="1"/>
  <c r="T223" i="1"/>
  <c r="U223" i="1"/>
  <c r="AC223" i="1"/>
  <c r="AD223" i="1"/>
  <c r="C224" i="1"/>
  <c r="R224" i="1"/>
  <c r="S224" i="1"/>
  <c r="T224" i="1"/>
  <c r="U224" i="1"/>
  <c r="AC224" i="1"/>
  <c r="AD224" i="1"/>
  <c r="AH224" i="1"/>
  <c r="C225" i="1"/>
  <c r="R225" i="1"/>
  <c r="S225" i="1"/>
  <c r="T225" i="1"/>
  <c r="U225" i="1"/>
  <c r="AC225" i="1"/>
  <c r="AD225" i="1"/>
  <c r="AE225" i="1"/>
  <c r="AF225" i="1"/>
  <c r="C226" i="1"/>
  <c r="R226" i="1"/>
  <c r="S226" i="1"/>
  <c r="T226" i="1"/>
  <c r="U226" i="1"/>
  <c r="AC226" i="1"/>
  <c r="AD226" i="1"/>
  <c r="C227" i="1"/>
  <c r="R227" i="1"/>
  <c r="S227" i="1"/>
  <c r="T227" i="1"/>
  <c r="U227" i="1"/>
  <c r="AC227" i="1"/>
  <c r="AD227" i="1"/>
  <c r="C228" i="1"/>
  <c r="R228" i="1"/>
  <c r="S228" i="1"/>
  <c r="T228" i="1"/>
  <c r="U228" i="1"/>
  <c r="AC228" i="1"/>
  <c r="AD228" i="1"/>
  <c r="C229" i="1"/>
  <c r="R229" i="1"/>
  <c r="S229" i="1"/>
  <c r="T229" i="1"/>
  <c r="U229" i="1"/>
  <c r="AC229" i="1"/>
  <c r="AD229" i="1"/>
  <c r="C230" i="1"/>
  <c r="R230" i="1"/>
  <c r="S230" i="1"/>
  <c r="T230" i="1"/>
  <c r="U230" i="1"/>
  <c r="AC230" i="1"/>
  <c r="AD230" i="1"/>
  <c r="AE230" i="1"/>
  <c r="AF230" i="1"/>
  <c r="DC230" i="1"/>
  <c r="DD230" i="1"/>
  <c r="C231" i="1"/>
  <c r="R231" i="1"/>
  <c r="S231" i="1"/>
  <c r="T231" i="1"/>
  <c r="U231" i="1"/>
  <c r="AC231" i="1"/>
  <c r="AD231" i="1"/>
  <c r="C232" i="1"/>
  <c r="R232" i="1"/>
  <c r="S232" i="1"/>
  <c r="T232" i="1"/>
  <c r="U232" i="1"/>
  <c r="AC232" i="1"/>
  <c r="AD232" i="1"/>
  <c r="C233" i="1"/>
  <c r="R233" i="1"/>
  <c r="S233" i="1"/>
  <c r="T233" i="1"/>
  <c r="U233" i="1"/>
  <c r="AC233" i="1"/>
  <c r="AD233" i="1"/>
  <c r="C234" i="1"/>
  <c r="R234" i="1"/>
  <c r="S234" i="1"/>
  <c r="T234" i="1"/>
  <c r="U234" i="1"/>
  <c r="AC234" i="1"/>
  <c r="AD234" i="1"/>
  <c r="C235" i="1"/>
  <c r="R235" i="1"/>
  <c r="S235" i="1"/>
  <c r="T235" i="1"/>
  <c r="U235" i="1"/>
  <c r="AC235" i="1"/>
  <c r="AD235" i="1"/>
  <c r="AE235" i="1"/>
  <c r="AF235" i="1"/>
  <c r="C236" i="1"/>
  <c r="R236" i="1"/>
  <c r="S236" i="1"/>
  <c r="T236" i="1"/>
  <c r="U236" i="1"/>
  <c r="AC236" i="1"/>
  <c r="AD236" i="1"/>
  <c r="C237" i="1"/>
  <c r="R237" i="1"/>
  <c r="S237" i="1"/>
  <c r="T237" i="1"/>
  <c r="U237" i="1"/>
  <c r="AC237" i="1"/>
  <c r="AD237" i="1"/>
  <c r="C238" i="1"/>
  <c r="R238" i="1"/>
  <c r="S238" i="1"/>
  <c r="T238" i="1"/>
  <c r="U238" i="1"/>
  <c r="AC238" i="1"/>
  <c r="AD238" i="1"/>
  <c r="C239" i="1"/>
  <c r="R239" i="1"/>
  <c r="S239" i="1"/>
  <c r="T239" i="1"/>
  <c r="U239" i="1"/>
  <c r="AC239" i="1"/>
  <c r="AD239" i="1"/>
  <c r="AE239" i="1"/>
  <c r="AF239" i="1"/>
  <c r="DC239" i="1"/>
  <c r="DD239" i="1"/>
  <c r="C240" i="1"/>
  <c r="R240" i="1"/>
  <c r="S240" i="1"/>
  <c r="T240" i="1"/>
  <c r="U240" i="1"/>
  <c r="AC240" i="1"/>
  <c r="AD240" i="1"/>
  <c r="C241" i="1"/>
  <c r="R241" i="1"/>
  <c r="S241" i="1"/>
  <c r="T241" i="1"/>
  <c r="U241" i="1"/>
  <c r="AC241" i="1"/>
  <c r="AD241" i="1"/>
  <c r="AE241" i="1"/>
  <c r="AF241" i="1"/>
  <c r="C242" i="1"/>
  <c r="R242" i="1"/>
  <c r="S242" i="1"/>
  <c r="T242" i="1"/>
  <c r="U242" i="1"/>
  <c r="AC242" i="1"/>
  <c r="AD242" i="1"/>
  <c r="C243" i="1"/>
  <c r="R243" i="1"/>
  <c r="S243" i="1"/>
  <c r="T243" i="1"/>
  <c r="U243" i="1"/>
  <c r="AC243" i="1"/>
  <c r="AD243" i="1"/>
  <c r="AE243" i="1"/>
  <c r="AF243" i="1"/>
  <c r="C244" i="1"/>
  <c r="R244" i="1"/>
  <c r="S244" i="1"/>
  <c r="T244" i="1"/>
  <c r="U244" i="1"/>
  <c r="AC244" i="1"/>
  <c r="AD244" i="1"/>
  <c r="AE244" i="1"/>
  <c r="AF244" i="1"/>
  <c r="C245" i="1"/>
  <c r="R245" i="1"/>
  <c r="S245" i="1"/>
  <c r="T245" i="1"/>
  <c r="U245" i="1"/>
  <c r="AC245" i="1"/>
  <c r="AD245" i="1"/>
  <c r="C246" i="1"/>
  <c r="R246" i="1"/>
  <c r="S246" i="1"/>
  <c r="T246" i="1"/>
  <c r="U246" i="1"/>
  <c r="AC246" i="1"/>
  <c r="AD246" i="1"/>
  <c r="C247" i="1"/>
  <c r="R247" i="1"/>
  <c r="S247" i="1"/>
  <c r="T247" i="1"/>
  <c r="U247" i="1"/>
  <c r="AC247" i="1"/>
  <c r="AD247" i="1"/>
  <c r="C248" i="1"/>
  <c r="R248" i="1"/>
  <c r="S248" i="1"/>
  <c r="T248" i="1"/>
  <c r="U248" i="1"/>
  <c r="AC248" i="1"/>
  <c r="AD248" i="1"/>
  <c r="C249" i="1"/>
  <c r="R249" i="1"/>
  <c r="S249" i="1"/>
  <c r="T249" i="1"/>
  <c r="U249" i="1"/>
  <c r="AC249" i="1"/>
  <c r="AD249" i="1"/>
  <c r="C250" i="1"/>
  <c r="R250" i="1"/>
  <c r="S250" i="1"/>
  <c r="T250" i="1"/>
  <c r="U250" i="1"/>
  <c r="AC250" i="1"/>
  <c r="AD250" i="1"/>
  <c r="AE250" i="1"/>
  <c r="AF250" i="1"/>
  <c r="C251" i="1"/>
  <c r="R251" i="1"/>
  <c r="S251" i="1"/>
  <c r="T251" i="1"/>
  <c r="U251" i="1"/>
  <c r="AC251" i="1"/>
  <c r="AD251" i="1"/>
  <c r="C252" i="1"/>
  <c r="R252" i="1"/>
  <c r="S252" i="1"/>
  <c r="T252" i="1"/>
  <c r="U252" i="1"/>
  <c r="AC252" i="1"/>
  <c r="AD252" i="1"/>
  <c r="C253" i="1"/>
  <c r="R253" i="1"/>
  <c r="S253" i="1"/>
  <c r="T253" i="1"/>
  <c r="U253" i="1"/>
  <c r="AC253" i="1"/>
  <c r="AD253" i="1"/>
  <c r="C254" i="1"/>
  <c r="R254" i="1"/>
  <c r="S254" i="1"/>
  <c r="T254" i="1"/>
  <c r="U254" i="1"/>
  <c r="AC254" i="1"/>
  <c r="AD254" i="1"/>
  <c r="AE254" i="1"/>
  <c r="AF254" i="1"/>
  <c r="DC254" i="1"/>
  <c r="DD254" i="1"/>
  <c r="C255" i="1"/>
  <c r="R255" i="1"/>
  <c r="S255" i="1"/>
  <c r="T255" i="1"/>
  <c r="U255" i="1"/>
  <c r="AC255" i="1"/>
  <c r="AD255" i="1"/>
  <c r="C256" i="1"/>
  <c r="R256" i="1"/>
  <c r="S256" i="1"/>
  <c r="T256" i="1"/>
  <c r="U256" i="1"/>
  <c r="AC256" i="1"/>
  <c r="AD256" i="1"/>
  <c r="AE256" i="1"/>
  <c r="AF256" i="1"/>
  <c r="C257" i="1"/>
  <c r="R257" i="1"/>
  <c r="S257" i="1"/>
  <c r="T257" i="1"/>
  <c r="U257" i="1"/>
  <c r="AC257" i="1"/>
  <c r="AD257" i="1"/>
  <c r="AE257" i="1"/>
  <c r="AF257" i="1"/>
  <c r="AH257" i="1"/>
  <c r="C258" i="1"/>
  <c r="R258" i="1"/>
  <c r="S258" i="1"/>
  <c r="T258" i="1"/>
  <c r="U258" i="1"/>
  <c r="AC258" i="1"/>
  <c r="AD258" i="1"/>
  <c r="AE258" i="1"/>
  <c r="AF258" i="1"/>
  <c r="C259" i="1"/>
  <c r="R259" i="1"/>
  <c r="S259" i="1"/>
  <c r="T259" i="1"/>
  <c r="U259" i="1"/>
  <c r="AC259" i="1"/>
  <c r="AD259" i="1"/>
  <c r="C260" i="1"/>
  <c r="R260" i="1"/>
  <c r="S260" i="1"/>
  <c r="T260" i="1"/>
  <c r="U260" i="1"/>
  <c r="AC260" i="1"/>
  <c r="AD260" i="1"/>
  <c r="DC260" i="1"/>
  <c r="DD260" i="1"/>
  <c r="C261" i="1"/>
  <c r="R261" i="1"/>
  <c r="S261" i="1"/>
  <c r="T261" i="1"/>
  <c r="U261" i="1"/>
  <c r="AC261" i="1"/>
  <c r="AD261" i="1"/>
  <c r="C262" i="1"/>
  <c r="R262" i="1"/>
  <c r="S262" i="1"/>
  <c r="T262" i="1"/>
  <c r="U262" i="1"/>
  <c r="AC262" i="1"/>
  <c r="AD262" i="1"/>
  <c r="C263" i="1"/>
  <c r="R263" i="1"/>
  <c r="S263" i="1"/>
  <c r="T263" i="1"/>
  <c r="U263" i="1"/>
  <c r="AC263" i="1"/>
  <c r="AD263" i="1"/>
  <c r="DC263" i="1"/>
  <c r="DD263" i="1"/>
  <c r="C264" i="1"/>
  <c r="R264" i="1"/>
  <c r="S264" i="1"/>
  <c r="T264" i="1"/>
  <c r="U264" i="1"/>
  <c r="AC264" i="1"/>
  <c r="AD264" i="1"/>
  <c r="C265" i="1"/>
  <c r="R265" i="1"/>
  <c r="S265" i="1"/>
  <c r="T265" i="1"/>
  <c r="U265" i="1"/>
  <c r="AC265" i="1"/>
  <c r="AD265" i="1"/>
  <c r="C266" i="1"/>
  <c r="R266" i="1"/>
  <c r="S266" i="1"/>
  <c r="T266" i="1"/>
  <c r="U266" i="1"/>
  <c r="AC266" i="1"/>
  <c r="AD266" i="1"/>
  <c r="C267" i="1"/>
  <c r="R267" i="1"/>
  <c r="S267" i="1"/>
  <c r="T267" i="1"/>
  <c r="U267" i="1"/>
  <c r="AC267" i="1"/>
  <c r="AD267" i="1"/>
  <c r="C268" i="1"/>
  <c r="R268" i="1"/>
  <c r="S268" i="1"/>
  <c r="T268" i="1"/>
  <c r="U268" i="1"/>
  <c r="AC268" i="1"/>
  <c r="AD268" i="1"/>
  <c r="C269" i="1"/>
  <c r="R269" i="1"/>
  <c r="S269" i="1"/>
  <c r="T269" i="1"/>
  <c r="U269" i="1"/>
  <c r="AC269" i="1"/>
  <c r="AD269" i="1"/>
  <c r="C270" i="1"/>
  <c r="R270" i="1"/>
  <c r="S270" i="1"/>
  <c r="T270" i="1"/>
  <c r="U270" i="1"/>
  <c r="AC270" i="1"/>
  <c r="AD270" i="1"/>
  <c r="C271" i="1"/>
  <c r="R271" i="1"/>
  <c r="S271" i="1"/>
  <c r="T271" i="1"/>
  <c r="U271" i="1"/>
  <c r="AC271" i="1"/>
  <c r="AD271" i="1"/>
  <c r="AH271" i="1"/>
  <c r="C272" i="1"/>
  <c r="R272" i="1"/>
  <c r="S272" i="1"/>
  <c r="T272" i="1"/>
  <c r="U272" i="1"/>
  <c r="AC272" i="1"/>
  <c r="AD272" i="1"/>
  <c r="C273" i="1"/>
  <c r="R273" i="1"/>
  <c r="S273" i="1"/>
  <c r="T273" i="1"/>
  <c r="U273" i="1"/>
  <c r="AC273" i="1"/>
  <c r="AD273" i="1"/>
  <c r="C274" i="1"/>
  <c r="R274" i="1"/>
  <c r="S274" i="1"/>
  <c r="T274" i="1"/>
  <c r="U274" i="1"/>
  <c r="AC274" i="1"/>
  <c r="AD274" i="1"/>
  <c r="C275" i="1"/>
  <c r="R275" i="1"/>
  <c r="S275" i="1"/>
  <c r="T275" i="1"/>
  <c r="U275" i="1"/>
  <c r="AC275" i="1"/>
  <c r="AD275" i="1"/>
  <c r="AE275" i="1"/>
  <c r="AF275" i="1"/>
  <c r="C276" i="1"/>
  <c r="R276" i="1"/>
  <c r="S276" i="1"/>
  <c r="T276" i="1"/>
  <c r="U276" i="1"/>
  <c r="AC276" i="1"/>
  <c r="AD276" i="1"/>
  <c r="AE276" i="1"/>
  <c r="AF276" i="1"/>
  <c r="DC276" i="1"/>
  <c r="DD276" i="1"/>
  <c r="C277" i="1"/>
  <c r="R277" i="1"/>
  <c r="S277" i="1"/>
  <c r="T277" i="1"/>
  <c r="U277" i="1"/>
  <c r="AC277" i="1"/>
  <c r="AD277" i="1"/>
  <c r="C278" i="1"/>
  <c r="R278" i="1"/>
  <c r="S278" i="1"/>
  <c r="T278" i="1"/>
  <c r="U278" i="1"/>
  <c r="AC278" i="1"/>
  <c r="AD278" i="1"/>
  <c r="C279" i="1"/>
  <c r="R279" i="1"/>
  <c r="S279" i="1"/>
  <c r="T279" i="1"/>
  <c r="U279" i="1"/>
  <c r="AC279" i="1"/>
  <c r="AD279" i="1"/>
  <c r="C280" i="1"/>
  <c r="R280" i="1"/>
  <c r="S280" i="1"/>
  <c r="T280" i="1"/>
  <c r="U280" i="1"/>
  <c r="AC280" i="1"/>
  <c r="AD280" i="1"/>
  <c r="AE280" i="1"/>
  <c r="AF280" i="1"/>
  <c r="C281" i="1"/>
  <c r="R281" i="1"/>
  <c r="S281" i="1"/>
  <c r="T281" i="1"/>
  <c r="U281" i="1"/>
  <c r="AC281" i="1"/>
  <c r="AD281" i="1"/>
  <c r="C282" i="1"/>
  <c r="R282" i="1"/>
  <c r="S282" i="1"/>
  <c r="T282" i="1"/>
  <c r="U282" i="1"/>
  <c r="AC282" i="1"/>
  <c r="AD282" i="1"/>
  <c r="AE282" i="1"/>
  <c r="AF282" i="1"/>
  <c r="AH282" i="1"/>
  <c r="AV282" i="1"/>
  <c r="C283" i="1"/>
  <c r="R283" i="1"/>
  <c r="S283" i="1"/>
  <c r="T283" i="1"/>
  <c r="U283" i="1"/>
  <c r="AC283" i="1"/>
  <c r="AD283" i="1"/>
  <c r="AE283" i="1"/>
  <c r="AF283" i="1"/>
  <c r="C284" i="1"/>
  <c r="R284" i="1"/>
  <c r="S284" i="1"/>
  <c r="T284" i="1"/>
  <c r="U284" i="1"/>
  <c r="AC284" i="1"/>
  <c r="AD284" i="1"/>
  <c r="C285" i="1"/>
  <c r="R285" i="1"/>
  <c r="S285" i="1"/>
  <c r="T285" i="1"/>
  <c r="U285" i="1"/>
  <c r="AC285" i="1"/>
  <c r="AD285" i="1"/>
  <c r="C286" i="1"/>
  <c r="R286" i="1"/>
  <c r="S286" i="1"/>
  <c r="T286" i="1"/>
  <c r="U286" i="1"/>
  <c r="AC286" i="1"/>
  <c r="AD286" i="1"/>
  <c r="AE286" i="1"/>
  <c r="AF286" i="1"/>
  <c r="AH286" i="1"/>
  <c r="C287" i="1"/>
  <c r="R287" i="1"/>
  <c r="S287" i="1"/>
  <c r="T287" i="1"/>
  <c r="U287" i="1"/>
  <c r="AC287" i="1"/>
  <c r="AD287" i="1"/>
  <c r="C288" i="1"/>
  <c r="R288" i="1"/>
  <c r="S288" i="1"/>
  <c r="T288" i="1"/>
  <c r="U288" i="1"/>
  <c r="AC288" i="1"/>
  <c r="AD288" i="1"/>
  <c r="AE288" i="1"/>
  <c r="AF288" i="1"/>
  <c r="C289" i="1"/>
  <c r="R289" i="1"/>
  <c r="S289" i="1"/>
  <c r="T289" i="1"/>
  <c r="U289" i="1"/>
  <c r="AC289" i="1"/>
  <c r="AD289" i="1"/>
  <c r="C290" i="1"/>
  <c r="R290" i="1"/>
  <c r="S290" i="1"/>
  <c r="T290" i="1"/>
  <c r="U290" i="1"/>
  <c r="AC290" i="1"/>
  <c r="AD290" i="1"/>
  <c r="C291" i="1"/>
  <c r="R291" i="1"/>
  <c r="S291" i="1"/>
  <c r="T291" i="1"/>
  <c r="U291" i="1"/>
  <c r="AC291" i="1"/>
  <c r="AD291" i="1"/>
  <c r="AE291" i="1"/>
  <c r="AF291" i="1"/>
  <c r="C292" i="1"/>
  <c r="R292" i="1"/>
  <c r="S292" i="1"/>
  <c r="T292" i="1"/>
  <c r="U292" i="1"/>
  <c r="AC292" i="1"/>
  <c r="AD292" i="1"/>
  <c r="C293" i="1"/>
  <c r="R293" i="1"/>
  <c r="S293" i="1"/>
  <c r="T293" i="1"/>
  <c r="U293" i="1"/>
  <c r="AC293" i="1"/>
  <c r="AD293" i="1"/>
  <c r="C294" i="1"/>
  <c r="R294" i="1"/>
  <c r="S294" i="1"/>
  <c r="T294" i="1"/>
  <c r="U294" i="1"/>
  <c r="AC294" i="1"/>
  <c r="AD294" i="1"/>
  <c r="C295" i="1"/>
  <c r="R295" i="1"/>
  <c r="S295" i="1"/>
  <c r="T295" i="1"/>
  <c r="U295" i="1"/>
  <c r="AC295" i="1"/>
  <c r="AD295" i="1"/>
  <c r="C296" i="1"/>
  <c r="R296" i="1"/>
  <c r="S296" i="1"/>
  <c r="T296" i="1"/>
  <c r="U296" i="1"/>
  <c r="AC296" i="1"/>
  <c r="AD296" i="1"/>
  <c r="C297" i="1"/>
  <c r="R297" i="1"/>
  <c r="S297" i="1"/>
  <c r="T297" i="1"/>
  <c r="U297" i="1"/>
  <c r="AC297" i="1"/>
  <c r="AD297" i="1"/>
  <c r="C298" i="1"/>
  <c r="R298" i="1"/>
  <c r="S298" i="1"/>
  <c r="T298" i="1"/>
  <c r="U298" i="1"/>
  <c r="AC298" i="1"/>
  <c r="AD298" i="1"/>
  <c r="AE298" i="1"/>
  <c r="AF298" i="1"/>
  <c r="C299" i="1"/>
  <c r="R299" i="1"/>
  <c r="S299" i="1"/>
  <c r="T299" i="1"/>
  <c r="U299" i="1"/>
  <c r="AC299" i="1"/>
  <c r="AD299" i="1"/>
  <c r="C300" i="1"/>
  <c r="R300" i="1"/>
  <c r="S300" i="1"/>
  <c r="T300" i="1"/>
  <c r="U300" i="1"/>
  <c r="AC300" i="1"/>
  <c r="AD300" i="1"/>
  <c r="C301" i="1"/>
  <c r="R301" i="1"/>
  <c r="S301" i="1"/>
  <c r="T301" i="1"/>
  <c r="U301" i="1"/>
  <c r="AC301" i="1"/>
  <c r="AD301" i="1"/>
  <c r="C302" i="1"/>
  <c r="R302" i="1"/>
  <c r="S302" i="1"/>
  <c r="T302" i="1"/>
  <c r="U302" i="1"/>
  <c r="AC302" i="1"/>
  <c r="AD302" i="1"/>
  <c r="C303" i="1"/>
  <c r="R303" i="1"/>
  <c r="S303" i="1"/>
  <c r="T303" i="1"/>
  <c r="U303" i="1"/>
  <c r="AC303" i="1"/>
  <c r="AD303" i="1"/>
  <c r="AE303" i="1"/>
  <c r="AF303" i="1"/>
  <c r="C304" i="1"/>
  <c r="R304" i="1"/>
  <c r="S304" i="1"/>
  <c r="T304" i="1"/>
  <c r="U304" i="1"/>
  <c r="AC304" i="1"/>
  <c r="AD304" i="1"/>
  <c r="C305" i="1"/>
  <c r="R305" i="1"/>
  <c r="S305" i="1"/>
  <c r="T305" i="1"/>
  <c r="U305" i="1"/>
  <c r="AC305" i="1"/>
  <c r="AD305" i="1"/>
  <c r="AV305" i="1"/>
  <c r="C306" i="1"/>
  <c r="R306" i="1"/>
  <c r="S306" i="1"/>
  <c r="T306" i="1"/>
  <c r="U306" i="1"/>
  <c r="AC306" i="1"/>
  <c r="AD306" i="1"/>
  <c r="C307" i="1"/>
  <c r="R307" i="1"/>
  <c r="S307" i="1"/>
  <c r="T307" i="1"/>
  <c r="U307" i="1"/>
  <c r="AC307" i="1"/>
  <c r="AD307" i="1"/>
  <c r="C308" i="1"/>
  <c r="R308" i="1"/>
  <c r="S308" i="1"/>
  <c r="T308" i="1"/>
  <c r="U308" i="1"/>
  <c r="AC308" i="1"/>
  <c r="AD308" i="1"/>
  <c r="C309" i="1"/>
  <c r="R309" i="1"/>
  <c r="S309" i="1"/>
  <c r="T309" i="1"/>
  <c r="U309" i="1"/>
  <c r="AC309" i="1"/>
  <c r="AD309" i="1"/>
  <c r="DC309" i="1"/>
  <c r="DD309" i="1"/>
  <c r="C310" i="1"/>
  <c r="R310" i="1"/>
  <c r="S310" i="1"/>
  <c r="T310" i="1"/>
  <c r="U310" i="1"/>
  <c r="AC310" i="1"/>
  <c r="AD310" i="1"/>
  <c r="C311" i="1"/>
  <c r="R311" i="1"/>
  <c r="S311" i="1"/>
  <c r="T311" i="1"/>
  <c r="U311" i="1"/>
  <c r="AC311" i="1"/>
  <c r="AD311" i="1"/>
  <c r="C312" i="1"/>
  <c r="R312" i="1"/>
  <c r="S312" i="1"/>
  <c r="T312" i="1"/>
  <c r="U312" i="1"/>
  <c r="AC312" i="1"/>
  <c r="AD312" i="1"/>
  <c r="C313" i="1"/>
  <c r="R313" i="1"/>
  <c r="S313" i="1"/>
  <c r="T313" i="1"/>
  <c r="U313" i="1"/>
  <c r="AC313" i="1"/>
  <c r="AD313" i="1"/>
  <c r="C314" i="1"/>
  <c r="R314" i="1"/>
  <c r="S314" i="1"/>
  <c r="T314" i="1"/>
  <c r="U314" i="1"/>
  <c r="AC314" i="1"/>
  <c r="AD314" i="1"/>
  <c r="AE314" i="1"/>
  <c r="AF314" i="1"/>
  <c r="C315" i="1"/>
  <c r="R315" i="1"/>
  <c r="S315" i="1"/>
  <c r="T315" i="1"/>
  <c r="U315" i="1"/>
  <c r="AC315" i="1"/>
  <c r="AD315" i="1"/>
  <c r="AE315" i="1"/>
  <c r="AF315" i="1"/>
  <c r="C316" i="1"/>
  <c r="R316" i="1"/>
  <c r="S316" i="1"/>
  <c r="T316" i="1"/>
  <c r="U316" i="1"/>
  <c r="AC316" i="1"/>
  <c r="AD316" i="1"/>
  <c r="C317" i="1"/>
  <c r="R317" i="1"/>
  <c r="S317" i="1"/>
  <c r="T317" i="1"/>
  <c r="U317" i="1"/>
  <c r="AC317" i="1"/>
  <c r="AD317" i="1"/>
  <c r="AE317" i="1"/>
  <c r="AF317" i="1"/>
  <c r="C318" i="1"/>
  <c r="R318" i="1"/>
  <c r="S318" i="1"/>
  <c r="T318" i="1"/>
  <c r="U318" i="1"/>
  <c r="AC318" i="1"/>
  <c r="AD318" i="1"/>
  <c r="C319" i="1"/>
  <c r="R319" i="1"/>
  <c r="S319" i="1"/>
  <c r="T319" i="1"/>
  <c r="U319" i="1"/>
  <c r="AC319" i="1"/>
  <c r="AD319" i="1"/>
  <c r="C320" i="1"/>
  <c r="R320" i="1"/>
  <c r="S320" i="1"/>
  <c r="T320" i="1"/>
  <c r="U320" i="1"/>
  <c r="AC320" i="1"/>
  <c r="AD320" i="1"/>
  <c r="C321" i="1"/>
  <c r="R321" i="1"/>
  <c r="S321" i="1"/>
  <c r="T321" i="1"/>
  <c r="U321" i="1"/>
  <c r="AC321" i="1"/>
  <c r="AD321" i="1"/>
  <c r="C322" i="1"/>
  <c r="R322" i="1"/>
  <c r="S322" i="1"/>
  <c r="T322" i="1"/>
  <c r="U322" i="1"/>
  <c r="AC322" i="1"/>
  <c r="AD322" i="1"/>
  <c r="C323" i="1"/>
  <c r="R323" i="1"/>
  <c r="S323" i="1"/>
  <c r="T323" i="1"/>
  <c r="U323" i="1"/>
  <c r="AC323" i="1"/>
  <c r="AD323" i="1"/>
  <c r="AE323" i="1"/>
  <c r="AF323" i="1"/>
  <c r="C324" i="1"/>
  <c r="R324" i="1"/>
  <c r="S324" i="1"/>
  <c r="T324" i="1"/>
  <c r="U324" i="1"/>
  <c r="AC324" i="1"/>
  <c r="AD324" i="1"/>
  <c r="C325" i="1"/>
  <c r="R325" i="1"/>
  <c r="S325" i="1"/>
  <c r="T325" i="1"/>
  <c r="U325" i="1"/>
  <c r="AC325" i="1"/>
  <c r="AD325" i="1"/>
  <c r="AH325" i="1"/>
  <c r="C326" i="1"/>
  <c r="R326" i="1"/>
  <c r="S326" i="1"/>
  <c r="T326" i="1"/>
  <c r="U326" i="1"/>
  <c r="AC326" i="1"/>
  <c r="AD326" i="1"/>
  <c r="AE326" i="1"/>
  <c r="AF326" i="1"/>
  <c r="C327" i="1"/>
  <c r="R327" i="1"/>
  <c r="S327" i="1"/>
  <c r="T327" i="1"/>
  <c r="U327" i="1"/>
  <c r="AC327" i="1"/>
  <c r="AD327" i="1"/>
  <c r="C328" i="1"/>
  <c r="R328" i="1"/>
  <c r="S328" i="1"/>
  <c r="T328" i="1"/>
  <c r="U328" i="1"/>
  <c r="AC328" i="1"/>
  <c r="AD328" i="1"/>
  <c r="AE328" i="1"/>
  <c r="AF328" i="1"/>
  <c r="AH328" i="1"/>
  <c r="C329" i="1"/>
  <c r="R329" i="1"/>
  <c r="S329" i="1"/>
  <c r="T329" i="1"/>
  <c r="U329" i="1"/>
  <c r="AC329" i="1"/>
  <c r="AD329" i="1"/>
  <c r="AE329" i="1"/>
  <c r="AF329" i="1"/>
  <c r="AH329" i="1"/>
  <c r="C330" i="1"/>
  <c r="R330" i="1"/>
  <c r="S330" i="1"/>
  <c r="T330" i="1"/>
  <c r="U330" i="1"/>
  <c r="AC330" i="1"/>
  <c r="AD330" i="1"/>
  <c r="C331" i="1"/>
  <c r="R331" i="1"/>
  <c r="S331" i="1"/>
  <c r="T331" i="1"/>
  <c r="U331" i="1"/>
  <c r="AC331" i="1"/>
  <c r="AD331" i="1"/>
  <c r="C332" i="1"/>
  <c r="R332" i="1"/>
  <c r="S332" i="1"/>
  <c r="T332" i="1"/>
  <c r="U332" i="1"/>
  <c r="AC332" i="1"/>
  <c r="AD332" i="1"/>
  <c r="C333" i="1"/>
  <c r="R333" i="1"/>
  <c r="S333" i="1"/>
  <c r="T333" i="1"/>
  <c r="U333" i="1"/>
  <c r="AC333" i="1"/>
  <c r="AD333" i="1"/>
  <c r="AE333" i="1"/>
  <c r="AF333" i="1"/>
  <c r="C334" i="1"/>
  <c r="R334" i="1"/>
  <c r="S334" i="1"/>
  <c r="T334" i="1"/>
  <c r="U334" i="1"/>
  <c r="AC334" i="1"/>
  <c r="AD334" i="1"/>
  <c r="AE334" i="1"/>
  <c r="AF334" i="1"/>
  <c r="C335" i="1"/>
  <c r="R335" i="1"/>
  <c r="S335" i="1"/>
  <c r="T335" i="1"/>
  <c r="U335" i="1"/>
  <c r="AC335" i="1"/>
  <c r="AD335" i="1"/>
  <c r="AE335" i="1"/>
  <c r="AF335" i="1"/>
  <c r="C336" i="1"/>
  <c r="R336" i="1"/>
  <c r="S336" i="1"/>
  <c r="T336" i="1"/>
  <c r="U336" i="1"/>
  <c r="AC336" i="1"/>
  <c r="AD336" i="1"/>
  <c r="AE336" i="1"/>
  <c r="AF336" i="1"/>
  <c r="AV336" i="1"/>
  <c r="C337" i="1"/>
  <c r="R337" i="1"/>
  <c r="S337" i="1"/>
  <c r="T337" i="1"/>
  <c r="U337" i="1"/>
  <c r="AC337" i="1"/>
  <c r="AD337" i="1"/>
  <c r="C338" i="1"/>
  <c r="R338" i="1"/>
  <c r="S338" i="1"/>
  <c r="T338" i="1"/>
  <c r="U338" i="1"/>
  <c r="AC338" i="1"/>
  <c r="AD338" i="1"/>
  <c r="C339" i="1"/>
  <c r="R339" i="1"/>
  <c r="S339" i="1"/>
  <c r="T339" i="1"/>
  <c r="U339" i="1"/>
  <c r="AC339" i="1"/>
  <c r="AD339" i="1"/>
  <c r="C340" i="1"/>
  <c r="R340" i="1"/>
  <c r="S340" i="1"/>
  <c r="T340" i="1"/>
  <c r="U340" i="1"/>
  <c r="AC340" i="1"/>
  <c r="AD340" i="1"/>
  <c r="C341" i="1"/>
  <c r="R341" i="1"/>
  <c r="S341" i="1"/>
  <c r="T341" i="1"/>
  <c r="U341" i="1"/>
  <c r="AC341" i="1"/>
  <c r="AD341" i="1"/>
  <c r="AE341" i="1"/>
  <c r="AF341" i="1"/>
  <c r="C342" i="1"/>
  <c r="R342" i="1"/>
  <c r="S342" i="1"/>
  <c r="T342" i="1"/>
  <c r="U342" i="1"/>
  <c r="AC342" i="1"/>
  <c r="AD342" i="1"/>
  <c r="C343" i="1"/>
  <c r="R343" i="1"/>
  <c r="S343" i="1"/>
  <c r="T343" i="1"/>
  <c r="U343" i="1"/>
  <c r="AC343" i="1"/>
  <c r="AD343" i="1"/>
  <c r="AH343" i="1"/>
  <c r="C344" i="1"/>
  <c r="R344" i="1"/>
  <c r="S344" i="1"/>
  <c r="T344" i="1"/>
  <c r="U344" i="1"/>
  <c r="AC344" i="1"/>
  <c r="AD344" i="1"/>
  <c r="C345" i="1"/>
  <c r="R345" i="1"/>
  <c r="S345" i="1"/>
  <c r="T345" i="1"/>
  <c r="U345" i="1"/>
  <c r="AC345" i="1"/>
  <c r="AD345" i="1"/>
  <c r="AH345" i="1"/>
  <c r="C346" i="1"/>
  <c r="R346" i="1"/>
  <c r="S346" i="1"/>
  <c r="T346" i="1"/>
  <c r="U346" i="1"/>
  <c r="AC346" i="1"/>
  <c r="AD346" i="1"/>
  <c r="AE346" i="1"/>
  <c r="AF346" i="1"/>
  <c r="C347" i="1"/>
  <c r="R347" i="1"/>
  <c r="S347" i="1"/>
  <c r="T347" i="1"/>
  <c r="U347" i="1"/>
  <c r="AC347" i="1"/>
  <c r="AD347" i="1"/>
  <c r="AE347" i="1"/>
  <c r="AF347" i="1"/>
  <c r="C348" i="1"/>
  <c r="R348" i="1"/>
  <c r="S348" i="1"/>
  <c r="T348" i="1"/>
  <c r="U348" i="1"/>
  <c r="AC348" i="1"/>
  <c r="AD348" i="1"/>
  <c r="AE348" i="1"/>
  <c r="AF348" i="1"/>
  <c r="C349" i="1"/>
  <c r="R349" i="1"/>
  <c r="S349" i="1"/>
  <c r="T349" i="1"/>
  <c r="U349" i="1"/>
  <c r="AC349" i="1"/>
  <c r="AD349" i="1"/>
  <c r="AH349" i="1"/>
  <c r="C350" i="1"/>
  <c r="R350" i="1"/>
  <c r="S350" i="1"/>
  <c r="T350" i="1"/>
  <c r="U350" i="1"/>
  <c r="AC350" i="1"/>
  <c r="AD350" i="1"/>
  <c r="AE350" i="1"/>
  <c r="AF350" i="1"/>
  <c r="AH350" i="1"/>
  <c r="C351" i="1"/>
  <c r="R351" i="1"/>
  <c r="S351" i="1"/>
  <c r="T351" i="1"/>
  <c r="U351" i="1"/>
  <c r="AC351" i="1"/>
  <c r="AD351" i="1"/>
  <c r="C352" i="1"/>
  <c r="R352" i="1"/>
  <c r="S352" i="1"/>
  <c r="T352" i="1"/>
  <c r="U352" i="1"/>
  <c r="AC352" i="1"/>
  <c r="AD352" i="1"/>
  <c r="C353" i="1"/>
  <c r="R353" i="1"/>
  <c r="S353" i="1"/>
  <c r="T353" i="1"/>
  <c r="U353" i="1"/>
  <c r="AC353" i="1"/>
  <c r="AD353" i="1"/>
  <c r="C354" i="1"/>
  <c r="R354" i="1"/>
  <c r="S354" i="1"/>
  <c r="T354" i="1"/>
  <c r="U354" i="1"/>
  <c r="AC354" i="1"/>
  <c r="AD354" i="1"/>
  <c r="AE354" i="1"/>
  <c r="AF354" i="1"/>
  <c r="C355" i="1"/>
  <c r="R355" i="1"/>
  <c r="S355" i="1"/>
  <c r="T355" i="1"/>
  <c r="U355" i="1"/>
  <c r="AC355" i="1"/>
  <c r="AD355" i="1"/>
  <c r="C356" i="1"/>
  <c r="R356" i="1"/>
  <c r="S356" i="1"/>
  <c r="T356" i="1"/>
  <c r="U356" i="1"/>
  <c r="AC356" i="1"/>
  <c r="AD356" i="1"/>
  <c r="AE356" i="1"/>
  <c r="AF356" i="1"/>
  <c r="C357" i="1"/>
  <c r="R357" i="1"/>
  <c r="S357" i="1"/>
  <c r="T357" i="1"/>
  <c r="U357" i="1"/>
  <c r="AC357" i="1"/>
  <c r="AD357" i="1"/>
  <c r="C358" i="1"/>
  <c r="R358" i="1"/>
  <c r="S358" i="1"/>
  <c r="T358" i="1"/>
  <c r="U358" i="1"/>
  <c r="AC358" i="1"/>
  <c r="AD358" i="1"/>
  <c r="AH358" i="1"/>
  <c r="C359" i="1"/>
  <c r="R359" i="1"/>
  <c r="S359" i="1"/>
  <c r="T359" i="1"/>
  <c r="U359" i="1"/>
  <c r="AC359" i="1"/>
  <c r="AD359" i="1"/>
  <c r="AH359" i="1"/>
  <c r="C360" i="1"/>
  <c r="R360" i="1"/>
  <c r="S360" i="1"/>
  <c r="T360" i="1"/>
  <c r="U360" i="1"/>
  <c r="AC360" i="1"/>
  <c r="AD360" i="1"/>
  <c r="AE360" i="1"/>
  <c r="AF360" i="1"/>
  <c r="C361" i="1"/>
  <c r="R361" i="1"/>
  <c r="S361" i="1"/>
  <c r="T361" i="1"/>
  <c r="U361" i="1"/>
  <c r="AC361" i="1"/>
  <c r="AD361" i="1"/>
  <c r="C362" i="1"/>
  <c r="R362" i="1"/>
  <c r="S362" i="1"/>
  <c r="T362" i="1"/>
  <c r="U362" i="1"/>
  <c r="AC362" i="1"/>
  <c r="AD362" i="1"/>
  <c r="C363" i="1"/>
  <c r="R363" i="1"/>
  <c r="S363" i="1"/>
  <c r="T363" i="1"/>
  <c r="U363" i="1"/>
  <c r="AC363" i="1"/>
  <c r="AD363" i="1"/>
  <c r="C364" i="1"/>
  <c r="R364" i="1"/>
  <c r="S364" i="1"/>
  <c r="T364" i="1"/>
  <c r="U364" i="1"/>
  <c r="AC364" i="1"/>
  <c r="AD364" i="1"/>
  <c r="C365" i="1"/>
  <c r="R365" i="1"/>
  <c r="S365" i="1"/>
  <c r="T365" i="1"/>
  <c r="U365" i="1"/>
  <c r="AC365" i="1"/>
  <c r="AD365" i="1"/>
  <c r="AE365" i="1"/>
  <c r="AF365" i="1"/>
  <c r="C366" i="1"/>
  <c r="R366" i="1"/>
  <c r="S366" i="1"/>
  <c r="T366" i="1"/>
  <c r="U366" i="1"/>
  <c r="AC366" i="1"/>
  <c r="AD366" i="1"/>
  <c r="C367" i="1"/>
  <c r="R367" i="1"/>
  <c r="S367" i="1"/>
  <c r="T367" i="1"/>
  <c r="U367" i="1"/>
  <c r="AC367" i="1"/>
  <c r="AD367" i="1"/>
  <c r="AH367" i="1"/>
  <c r="C368" i="1"/>
  <c r="R368" i="1"/>
  <c r="S368" i="1"/>
  <c r="T368" i="1"/>
  <c r="U368" i="1"/>
  <c r="AC368" i="1"/>
  <c r="AD368" i="1"/>
  <c r="C369" i="1"/>
  <c r="R369" i="1"/>
  <c r="S369" i="1"/>
  <c r="T369" i="1"/>
  <c r="U369" i="1"/>
  <c r="AC369" i="1"/>
  <c r="AD369" i="1"/>
  <c r="C370" i="1"/>
  <c r="R370" i="1"/>
  <c r="S370" i="1"/>
  <c r="T370" i="1"/>
  <c r="U370" i="1"/>
  <c r="AC370" i="1"/>
  <c r="AD370" i="1"/>
  <c r="C371" i="1"/>
  <c r="R371" i="1"/>
  <c r="S371" i="1"/>
  <c r="T371" i="1"/>
  <c r="U371" i="1"/>
  <c r="AC371" i="1"/>
  <c r="AD371" i="1"/>
  <c r="AE371" i="1"/>
  <c r="AF371" i="1"/>
  <c r="AH371" i="1"/>
  <c r="C372" i="1"/>
  <c r="R372" i="1"/>
  <c r="S372" i="1"/>
  <c r="T372" i="1"/>
  <c r="U372" i="1"/>
  <c r="AC372" i="1"/>
  <c r="AD372" i="1"/>
  <c r="AE372" i="1"/>
  <c r="AF372" i="1"/>
  <c r="C373" i="1"/>
  <c r="R373" i="1"/>
  <c r="S373" i="1"/>
  <c r="T373" i="1"/>
  <c r="U373" i="1"/>
  <c r="AC373" i="1"/>
  <c r="AD373" i="1"/>
  <c r="AE373" i="1"/>
  <c r="AF373" i="1"/>
  <c r="AH373" i="1"/>
  <c r="C374" i="1"/>
  <c r="R374" i="1"/>
  <c r="S374" i="1"/>
  <c r="T374" i="1"/>
  <c r="U374" i="1"/>
  <c r="AC374" i="1"/>
  <c r="AD374" i="1"/>
  <c r="AH374" i="1"/>
  <c r="C375" i="1"/>
  <c r="R375" i="1"/>
  <c r="S375" i="1"/>
  <c r="T375" i="1"/>
  <c r="U375" i="1"/>
  <c r="AC375" i="1"/>
  <c r="AD375" i="1"/>
  <c r="C376" i="1"/>
  <c r="R376" i="1"/>
  <c r="S376" i="1"/>
  <c r="T376" i="1"/>
  <c r="U376" i="1"/>
  <c r="AC376" i="1"/>
  <c r="AD376" i="1"/>
  <c r="C377" i="1"/>
  <c r="R377" i="1"/>
  <c r="S377" i="1"/>
  <c r="T377" i="1"/>
  <c r="U377" i="1"/>
  <c r="AC377" i="1"/>
  <c r="AD377" i="1"/>
  <c r="C378" i="1"/>
  <c r="R378" i="1"/>
  <c r="S378" i="1"/>
  <c r="T378" i="1"/>
  <c r="U378" i="1"/>
  <c r="AC378" i="1"/>
  <c r="AD378" i="1"/>
  <c r="C379" i="1"/>
  <c r="R379" i="1"/>
  <c r="S379" i="1"/>
  <c r="T379" i="1"/>
  <c r="U379" i="1"/>
  <c r="AC379" i="1"/>
  <c r="AD379" i="1"/>
  <c r="C380" i="1"/>
  <c r="R380" i="1"/>
  <c r="S380" i="1"/>
  <c r="T380" i="1"/>
  <c r="U380" i="1"/>
  <c r="AC380" i="1"/>
  <c r="AD380" i="1"/>
  <c r="C381" i="1"/>
  <c r="R381" i="1"/>
  <c r="S381" i="1"/>
  <c r="T381" i="1"/>
  <c r="U381" i="1"/>
  <c r="AC381" i="1"/>
  <c r="AD381" i="1"/>
  <c r="C382" i="1"/>
  <c r="R382" i="1"/>
  <c r="S382" i="1"/>
  <c r="T382" i="1"/>
  <c r="U382" i="1"/>
  <c r="AC382" i="1"/>
  <c r="AD382" i="1"/>
  <c r="AE382" i="1"/>
  <c r="AF382" i="1"/>
  <c r="DC382" i="1"/>
  <c r="DD382" i="1"/>
  <c r="C383" i="1"/>
  <c r="R383" i="1"/>
  <c r="S383" i="1"/>
  <c r="T383" i="1"/>
  <c r="U383" i="1"/>
  <c r="AC383" i="1"/>
  <c r="AD383" i="1"/>
  <c r="C384" i="1"/>
  <c r="R384" i="1"/>
  <c r="S384" i="1"/>
  <c r="T384" i="1"/>
  <c r="U384" i="1"/>
  <c r="AC384" i="1"/>
  <c r="AD384" i="1"/>
  <c r="AH384" i="1"/>
  <c r="AV384" i="1"/>
  <c r="C385" i="1"/>
  <c r="R385" i="1"/>
  <c r="S385" i="1"/>
  <c r="T385" i="1"/>
  <c r="U385" i="1"/>
  <c r="AC385" i="1"/>
  <c r="AD385" i="1"/>
  <c r="AH385" i="1"/>
  <c r="AV385" i="1"/>
  <c r="C386" i="1"/>
  <c r="R386" i="1"/>
  <c r="S386" i="1"/>
  <c r="T386" i="1"/>
  <c r="U386" i="1"/>
  <c r="AC386" i="1"/>
  <c r="AD386" i="1"/>
  <c r="C387" i="1"/>
  <c r="R387" i="1"/>
  <c r="S387" i="1"/>
  <c r="T387" i="1"/>
  <c r="U387" i="1"/>
  <c r="AC387" i="1"/>
  <c r="AD387" i="1"/>
  <c r="C388" i="1"/>
  <c r="R388" i="1"/>
  <c r="S388" i="1"/>
  <c r="T388" i="1"/>
  <c r="U388" i="1"/>
  <c r="AC388" i="1"/>
  <c r="AD388" i="1"/>
  <c r="AH388" i="1"/>
  <c r="C389" i="1"/>
  <c r="R389" i="1"/>
  <c r="S389" i="1"/>
  <c r="T389" i="1"/>
  <c r="U389" i="1"/>
  <c r="AC389" i="1"/>
  <c r="AD389" i="1"/>
  <c r="AH389" i="1"/>
  <c r="C390" i="1"/>
  <c r="R390" i="1"/>
  <c r="S390" i="1"/>
  <c r="T390" i="1"/>
  <c r="U390" i="1"/>
  <c r="AC390" i="1"/>
  <c r="AD390" i="1"/>
  <c r="AH390" i="1"/>
  <c r="C391" i="1"/>
  <c r="R391" i="1"/>
  <c r="S391" i="1"/>
  <c r="T391" i="1"/>
  <c r="U391" i="1"/>
  <c r="AC391" i="1"/>
  <c r="AD391" i="1"/>
  <c r="AH391" i="1"/>
  <c r="C392" i="1"/>
  <c r="R392" i="1"/>
  <c r="S392" i="1"/>
  <c r="T392" i="1"/>
  <c r="U392" i="1"/>
  <c r="AC392" i="1"/>
  <c r="AD392" i="1"/>
  <c r="C393" i="1"/>
  <c r="R393" i="1"/>
  <c r="S393" i="1"/>
  <c r="T393" i="1"/>
  <c r="U393" i="1"/>
  <c r="AC393" i="1"/>
  <c r="AD393" i="1"/>
  <c r="C394" i="1"/>
  <c r="R394" i="1"/>
  <c r="S394" i="1"/>
  <c r="T394" i="1"/>
  <c r="U394" i="1"/>
  <c r="AC394" i="1"/>
  <c r="AD394" i="1"/>
  <c r="C395" i="1"/>
  <c r="R395" i="1"/>
  <c r="S395" i="1"/>
  <c r="T395" i="1"/>
  <c r="U395" i="1"/>
  <c r="AC395" i="1"/>
  <c r="AD395" i="1"/>
  <c r="C396" i="1"/>
  <c r="R396" i="1"/>
  <c r="S396" i="1"/>
  <c r="T396" i="1"/>
  <c r="U396" i="1"/>
  <c r="AC396" i="1"/>
  <c r="AD396" i="1"/>
  <c r="AV396" i="1"/>
  <c r="C397" i="1"/>
  <c r="R397" i="1"/>
  <c r="S397" i="1"/>
  <c r="T397" i="1"/>
  <c r="U397" i="1"/>
  <c r="AC397" i="1"/>
  <c r="AD397" i="1"/>
  <c r="C398" i="1"/>
  <c r="R398" i="1"/>
  <c r="S398" i="1"/>
  <c r="T398" i="1"/>
  <c r="U398" i="1"/>
  <c r="AC398" i="1"/>
  <c r="AD398" i="1"/>
  <c r="C399" i="1"/>
  <c r="R399" i="1"/>
  <c r="S399" i="1"/>
  <c r="T399" i="1"/>
  <c r="U399" i="1"/>
  <c r="AC399" i="1"/>
  <c r="AD399" i="1"/>
  <c r="AH399" i="1"/>
  <c r="C400" i="1"/>
  <c r="R400" i="1"/>
  <c r="S400" i="1"/>
  <c r="T400" i="1"/>
  <c r="U400" i="1"/>
  <c r="AC400" i="1"/>
  <c r="AD400" i="1"/>
  <c r="C401" i="1"/>
  <c r="R401" i="1"/>
  <c r="S401" i="1"/>
  <c r="T401" i="1"/>
  <c r="U401" i="1"/>
  <c r="AC401" i="1"/>
  <c r="AD401" i="1"/>
  <c r="AH401" i="1"/>
  <c r="C402" i="1"/>
  <c r="R402" i="1"/>
  <c r="S402" i="1"/>
  <c r="T402" i="1"/>
  <c r="U402" i="1"/>
  <c r="AC402" i="1"/>
  <c r="AD402" i="1"/>
  <c r="AH402" i="1"/>
  <c r="AV402" i="1"/>
  <c r="C403" i="1"/>
  <c r="R403" i="1"/>
  <c r="S403" i="1"/>
  <c r="T403" i="1"/>
  <c r="U403" i="1"/>
  <c r="AC403" i="1"/>
  <c r="AD403" i="1"/>
  <c r="AE403" i="1"/>
  <c r="AF403" i="1"/>
  <c r="C404" i="1"/>
  <c r="R404" i="1"/>
  <c r="S404" i="1"/>
  <c r="T404" i="1"/>
  <c r="U404" i="1"/>
  <c r="AC404" i="1"/>
  <c r="AD404" i="1"/>
  <c r="AH404" i="1"/>
  <c r="C405" i="1"/>
  <c r="R405" i="1"/>
  <c r="S405" i="1"/>
  <c r="T405" i="1"/>
  <c r="U405" i="1"/>
  <c r="AC405" i="1"/>
  <c r="AD405" i="1"/>
  <c r="C406" i="1"/>
  <c r="R406" i="1"/>
  <c r="S406" i="1"/>
  <c r="T406" i="1"/>
  <c r="U406" i="1"/>
  <c r="AC406" i="1"/>
  <c r="AD406" i="1"/>
  <c r="C407" i="1"/>
  <c r="R407" i="1"/>
  <c r="S407" i="1"/>
  <c r="T407" i="1"/>
  <c r="U407" i="1"/>
  <c r="AC407" i="1"/>
  <c r="AD407" i="1"/>
  <c r="AH407" i="1"/>
  <c r="AV407" i="1"/>
  <c r="C408" i="1"/>
  <c r="R408" i="1"/>
  <c r="S408" i="1"/>
  <c r="T408" i="1"/>
  <c r="U408" i="1"/>
  <c r="AC408" i="1"/>
  <c r="AD408" i="1"/>
  <c r="AH408" i="1"/>
  <c r="C409" i="1"/>
  <c r="R409" i="1"/>
  <c r="S409" i="1"/>
  <c r="T409" i="1"/>
  <c r="U409" i="1"/>
  <c r="AC409" i="1"/>
  <c r="AD409" i="1"/>
  <c r="C410" i="1"/>
  <c r="R410" i="1"/>
  <c r="S410" i="1"/>
  <c r="T410" i="1"/>
  <c r="U410" i="1"/>
  <c r="AC410" i="1"/>
  <c r="AD410" i="1"/>
  <c r="AE410" i="1"/>
  <c r="AF410" i="1"/>
  <c r="C411" i="1"/>
  <c r="R411" i="1"/>
  <c r="S411" i="1"/>
  <c r="T411" i="1"/>
  <c r="U411" i="1"/>
  <c r="AC411" i="1"/>
  <c r="AD411" i="1"/>
  <c r="AE411" i="1"/>
  <c r="AF411" i="1"/>
  <c r="C412" i="1"/>
  <c r="R412" i="1"/>
  <c r="S412" i="1"/>
  <c r="T412" i="1"/>
  <c r="U412" i="1"/>
  <c r="AC412" i="1"/>
  <c r="AD412" i="1"/>
  <c r="C413" i="1"/>
  <c r="R413" i="1"/>
  <c r="S413" i="1"/>
  <c r="T413" i="1"/>
  <c r="U413" i="1"/>
  <c r="AC413" i="1"/>
  <c r="AD413" i="1"/>
  <c r="AV413" i="1"/>
  <c r="C414" i="1"/>
  <c r="R414" i="1"/>
  <c r="S414" i="1"/>
  <c r="T414" i="1"/>
  <c r="U414" i="1"/>
  <c r="AC414" i="1"/>
  <c r="AD414" i="1"/>
  <c r="AE414" i="1"/>
  <c r="AF414" i="1"/>
  <c r="C415" i="1"/>
  <c r="R415" i="1"/>
  <c r="S415" i="1"/>
  <c r="T415" i="1"/>
  <c r="U415" i="1"/>
  <c r="AC415" i="1"/>
  <c r="AD415" i="1"/>
  <c r="C416" i="1"/>
  <c r="R416" i="1"/>
  <c r="S416" i="1"/>
  <c r="T416" i="1"/>
  <c r="U416" i="1"/>
  <c r="AC416" i="1"/>
  <c r="AD416" i="1"/>
  <c r="C417" i="1"/>
  <c r="R417" i="1"/>
  <c r="S417" i="1"/>
  <c r="T417" i="1"/>
  <c r="U417" i="1"/>
  <c r="AC417" i="1"/>
  <c r="AD417" i="1"/>
  <c r="C418" i="1"/>
  <c r="R418" i="1"/>
  <c r="S418" i="1"/>
  <c r="T418" i="1"/>
  <c r="U418" i="1"/>
  <c r="AC418" i="1"/>
  <c r="AD418" i="1"/>
  <c r="AE418" i="1"/>
  <c r="AF418" i="1"/>
  <c r="AH418" i="1"/>
  <c r="C419" i="1"/>
  <c r="R419" i="1"/>
  <c r="S419" i="1"/>
  <c r="T419" i="1"/>
  <c r="U419" i="1"/>
  <c r="AC419" i="1"/>
  <c r="AD419" i="1"/>
  <c r="AE419" i="1"/>
  <c r="AF419" i="1"/>
  <c r="C420" i="1"/>
  <c r="R420" i="1"/>
  <c r="S420" i="1"/>
  <c r="T420" i="1"/>
  <c r="U420" i="1"/>
  <c r="AC420" i="1"/>
  <c r="AD420" i="1"/>
  <c r="C421" i="1"/>
  <c r="R421" i="1"/>
  <c r="S421" i="1"/>
  <c r="T421" i="1"/>
  <c r="U421" i="1"/>
  <c r="AC421" i="1"/>
  <c r="AD421" i="1"/>
  <c r="AE421" i="1"/>
  <c r="AF421" i="1"/>
  <c r="C422" i="1"/>
  <c r="R422" i="1"/>
  <c r="S422" i="1"/>
  <c r="T422" i="1"/>
  <c r="U422" i="1"/>
  <c r="AC422" i="1"/>
  <c r="AD422" i="1"/>
  <c r="C423" i="1"/>
  <c r="R423" i="1"/>
  <c r="S423" i="1"/>
  <c r="T423" i="1"/>
  <c r="U423" i="1"/>
  <c r="AC423" i="1"/>
  <c r="AD423" i="1"/>
  <c r="C424" i="1"/>
  <c r="R424" i="1"/>
  <c r="S424" i="1"/>
  <c r="T424" i="1"/>
  <c r="U424" i="1"/>
  <c r="AC424" i="1"/>
  <c r="AD424" i="1"/>
  <c r="AE424" i="1"/>
  <c r="AF424" i="1"/>
  <c r="C425" i="1"/>
  <c r="R425" i="1"/>
  <c r="S425" i="1"/>
  <c r="T425" i="1"/>
  <c r="U425" i="1"/>
  <c r="AC425" i="1"/>
  <c r="AD425" i="1"/>
  <c r="AE425" i="1"/>
  <c r="AF425" i="1"/>
  <c r="C426" i="1"/>
  <c r="R426" i="1"/>
  <c r="S426" i="1"/>
  <c r="T426" i="1"/>
  <c r="U426" i="1"/>
  <c r="AC426" i="1"/>
  <c r="AD426" i="1"/>
  <c r="AE426" i="1"/>
  <c r="AF426" i="1"/>
  <c r="C427" i="1"/>
  <c r="R427" i="1"/>
  <c r="S427" i="1"/>
  <c r="T427" i="1"/>
  <c r="U427" i="1"/>
  <c r="AC427" i="1"/>
  <c r="AD427" i="1"/>
  <c r="C428" i="1"/>
  <c r="R428" i="1"/>
  <c r="S428" i="1"/>
  <c r="T428" i="1"/>
  <c r="U428" i="1"/>
  <c r="AC428" i="1"/>
  <c r="AD428" i="1"/>
  <c r="AE428" i="1"/>
  <c r="AF428" i="1"/>
  <c r="C429" i="1"/>
  <c r="R429" i="1"/>
  <c r="S429" i="1"/>
  <c r="T429" i="1"/>
  <c r="U429" i="1"/>
  <c r="AC429" i="1"/>
  <c r="AD429" i="1"/>
  <c r="C430" i="1"/>
  <c r="R430" i="1"/>
  <c r="S430" i="1"/>
  <c r="T430" i="1"/>
  <c r="U430" i="1"/>
  <c r="AC430" i="1"/>
  <c r="AD430" i="1"/>
  <c r="AE430" i="1"/>
  <c r="AF430" i="1"/>
  <c r="C431" i="1"/>
  <c r="R431" i="1"/>
  <c r="S431" i="1"/>
  <c r="T431" i="1"/>
  <c r="U431" i="1"/>
  <c r="AC431" i="1"/>
  <c r="AD431" i="1"/>
  <c r="AE431" i="1"/>
  <c r="AF431" i="1"/>
  <c r="C432" i="1"/>
  <c r="R432" i="1"/>
  <c r="S432" i="1"/>
  <c r="T432" i="1"/>
  <c r="U432" i="1"/>
  <c r="AC432" i="1"/>
  <c r="AD432" i="1"/>
  <c r="AH432" i="1"/>
  <c r="AV432" i="1"/>
  <c r="C433" i="1"/>
  <c r="R433" i="1"/>
  <c r="S433" i="1"/>
  <c r="T433" i="1"/>
  <c r="U433" i="1"/>
  <c r="AC433" i="1"/>
  <c r="AD433" i="1"/>
  <c r="C434" i="1"/>
  <c r="R434" i="1"/>
  <c r="S434" i="1"/>
  <c r="T434" i="1"/>
  <c r="U434" i="1"/>
  <c r="AC434" i="1"/>
  <c r="AD434" i="1"/>
  <c r="AE434" i="1"/>
  <c r="AF434" i="1"/>
  <c r="DC434" i="1"/>
  <c r="DD434" i="1"/>
  <c r="C435" i="1"/>
  <c r="R435" i="1"/>
  <c r="S435" i="1"/>
  <c r="T435" i="1"/>
  <c r="U435" i="1"/>
  <c r="AC435" i="1"/>
  <c r="AD435" i="1"/>
  <c r="C436" i="1"/>
  <c r="R436" i="1"/>
  <c r="S436" i="1"/>
  <c r="T436" i="1"/>
  <c r="U436" i="1"/>
  <c r="AC436" i="1"/>
  <c r="AD436" i="1"/>
  <c r="C437" i="1"/>
  <c r="R437" i="1"/>
  <c r="S437" i="1"/>
  <c r="T437" i="1"/>
  <c r="U437" i="1"/>
  <c r="AC437" i="1"/>
  <c r="AD437" i="1"/>
  <c r="C438" i="1"/>
  <c r="R438" i="1"/>
  <c r="S438" i="1"/>
  <c r="T438" i="1"/>
  <c r="U438" i="1"/>
  <c r="AC438" i="1"/>
  <c r="AD438" i="1"/>
  <c r="C439" i="1"/>
  <c r="R439" i="1"/>
  <c r="S439" i="1"/>
  <c r="T439" i="1"/>
  <c r="U439" i="1"/>
  <c r="AC439" i="1"/>
  <c r="AD439" i="1"/>
  <c r="C440" i="1"/>
  <c r="R440" i="1"/>
  <c r="S440" i="1"/>
  <c r="T440" i="1"/>
  <c r="U440" i="1"/>
  <c r="AC440" i="1"/>
  <c r="AD440" i="1"/>
  <c r="C441" i="1"/>
  <c r="R441" i="1"/>
  <c r="S441" i="1"/>
  <c r="T441" i="1"/>
  <c r="U441" i="1"/>
  <c r="AC441" i="1"/>
  <c r="AD441" i="1"/>
  <c r="C442" i="1"/>
  <c r="R442" i="1"/>
  <c r="S442" i="1"/>
  <c r="T442" i="1"/>
  <c r="U442" i="1"/>
  <c r="AC442" i="1"/>
  <c r="AD442" i="1"/>
  <c r="C443" i="1"/>
  <c r="R443" i="1"/>
  <c r="S443" i="1"/>
  <c r="T443" i="1"/>
  <c r="U443" i="1"/>
  <c r="AC443" i="1"/>
  <c r="AD443" i="1"/>
  <c r="C444" i="1"/>
  <c r="R444" i="1"/>
  <c r="S444" i="1"/>
  <c r="T444" i="1"/>
  <c r="U444" i="1"/>
  <c r="AC444" i="1"/>
  <c r="AD444" i="1"/>
  <c r="C445" i="1"/>
  <c r="R445" i="1"/>
  <c r="S445" i="1"/>
  <c r="T445" i="1"/>
  <c r="U445" i="1"/>
  <c r="AC445" i="1"/>
  <c r="AD445" i="1"/>
  <c r="C446" i="1"/>
  <c r="R446" i="1"/>
  <c r="S446" i="1"/>
  <c r="T446" i="1"/>
  <c r="U446" i="1"/>
  <c r="AC446" i="1"/>
  <c r="AD446" i="1"/>
  <c r="C447" i="1"/>
  <c r="R447" i="1"/>
  <c r="S447" i="1"/>
  <c r="T447" i="1"/>
  <c r="U447" i="1"/>
  <c r="AC447" i="1"/>
  <c r="AD447" i="1"/>
  <c r="C448" i="1"/>
  <c r="R448" i="1"/>
  <c r="S448" i="1"/>
  <c r="T448" i="1"/>
  <c r="U448" i="1"/>
  <c r="AC448" i="1"/>
  <c r="AD448" i="1"/>
  <c r="C449" i="1"/>
  <c r="R449" i="1"/>
  <c r="S449" i="1"/>
  <c r="T449" i="1"/>
  <c r="U449" i="1"/>
  <c r="AC449" i="1"/>
  <c r="AD449" i="1"/>
  <c r="C450" i="1"/>
  <c r="R450" i="1"/>
  <c r="S450" i="1"/>
  <c r="T450" i="1"/>
  <c r="U450" i="1"/>
  <c r="AC450" i="1"/>
  <c r="AD450" i="1"/>
  <c r="AE450" i="1"/>
  <c r="AF450" i="1"/>
  <c r="CZ450" i="1"/>
  <c r="C451" i="1"/>
  <c r="R451" i="1"/>
  <c r="S451" i="1"/>
  <c r="T451" i="1"/>
  <c r="U451" i="1"/>
  <c r="AC451" i="1"/>
  <c r="AD451" i="1"/>
  <c r="C452" i="1"/>
  <c r="R452" i="1"/>
  <c r="S452" i="1"/>
  <c r="T452" i="1"/>
  <c r="U452" i="1"/>
  <c r="AC452" i="1"/>
  <c r="AD452" i="1"/>
  <c r="C453" i="1"/>
  <c r="R453" i="1"/>
  <c r="S453" i="1"/>
  <c r="T453" i="1"/>
  <c r="U453" i="1"/>
  <c r="AC453" i="1"/>
  <c r="AD453" i="1"/>
  <c r="C454" i="1"/>
  <c r="R454" i="1"/>
  <c r="S454" i="1"/>
  <c r="T454" i="1"/>
  <c r="U454" i="1"/>
  <c r="AC454" i="1"/>
  <c r="AD454" i="1"/>
  <c r="C455" i="1"/>
  <c r="R455" i="1"/>
  <c r="S455" i="1"/>
  <c r="T455" i="1"/>
  <c r="U455" i="1"/>
  <c r="AC455" i="1"/>
  <c r="AD455" i="1"/>
  <c r="C456" i="1"/>
  <c r="R456" i="1"/>
  <c r="S456" i="1"/>
  <c r="T456" i="1"/>
  <c r="U456" i="1"/>
  <c r="AC456" i="1"/>
  <c r="AD456" i="1"/>
  <c r="C457" i="1"/>
  <c r="R457" i="1"/>
  <c r="S457" i="1"/>
  <c r="T457" i="1"/>
  <c r="U457" i="1"/>
  <c r="AC457" i="1"/>
  <c r="AD457" i="1"/>
  <c r="C458" i="1"/>
  <c r="R458" i="1"/>
  <c r="S458" i="1"/>
  <c r="T458" i="1"/>
  <c r="U458" i="1"/>
  <c r="AC458" i="1"/>
  <c r="AD458" i="1"/>
  <c r="AE458" i="1"/>
  <c r="AF458" i="1"/>
  <c r="AH458" i="1"/>
  <c r="C459" i="1"/>
  <c r="R459" i="1"/>
  <c r="S459" i="1"/>
  <c r="T459" i="1"/>
  <c r="U459" i="1"/>
  <c r="AC459" i="1"/>
  <c r="AD459" i="1"/>
  <c r="AE459" i="1"/>
  <c r="AF459" i="1"/>
  <c r="C460" i="1"/>
  <c r="R460" i="1"/>
  <c r="S460" i="1"/>
  <c r="T460" i="1"/>
  <c r="U460" i="1"/>
  <c r="AC460" i="1"/>
  <c r="AD460" i="1"/>
  <c r="CZ460" i="1"/>
  <c r="C461" i="1"/>
  <c r="R461" i="1"/>
  <c r="S461" i="1"/>
  <c r="T461" i="1"/>
  <c r="U461" i="1"/>
  <c r="AC461" i="1"/>
  <c r="AD461" i="1"/>
  <c r="AH461" i="1"/>
  <c r="C462" i="1"/>
  <c r="R462" i="1"/>
  <c r="S462" i="1"/>
  <c r="T462" i="1"/>
  <c r="U462" i="1"/>
  <c r="AC462" i="1"/>
  <c r="AD462" i="1"/>
  <c r="AE462" i="1"/>
  <c r="AF462" i="1"/>
  <c r="DC462" i="1"/>
  <c r="DD462" i="1"/>
  <c r="C463" i="1"/>
  <c r="R463" i="1"/>
  <c r="S463" i="1"/>
  <c r="T463" i="1"/>
  <c r="U463" i="1"/>
  <c r="AC463" i="1"/>
  <c r="AD463" i="1"/>
  <c r="C464" i="1"/>
  <c r="R464" i="1"/>
  <c r="S464" i="1"/>
  <c r="T464" i="1"/>
  <c r="U464" i="1"/>
  <c r="AC464" i="1"/>
  <c r="AD464" i="1"/>
  <c r="C465" i="1"/>
  <c r="R465" i="1"/>
  <c r="S465" i="1"/>
  <c r="T465" i="1"/>
  <c r="U465" i="1"/>
  <c r="AC465" i="1"/>
  <c r="AD465" i="1"/>
  <c r="C466" i="1"/>
  <c r="R466" i="1"/>
  <c r="S466" i="1"/>
  <c r="T466" i="1"/>
  <c r="U466" i="1"/>
  <c r="AC466" i="1"/>
  <c r="AD466" i="1"/>
  <c r="C467" i="1"/>
  <c r="R467" i="1"/>
  <c r="S467" i="1"/>
  <c r="T467" i="1"/>
  <c r="U467" i="1"/>
  <c r="AC467" i="1"/>
  <c r="AD467" i="1"/>
  <c r="C468" i="1"/>
  <c r="R468" i="1"/>
  <c r="S468" i="1"/>
  <c r="T468" i="1"/>
  <c r="U468" i="1"/>
  <c r="AC468" i="1"/>
  <c r="AD468" i="1"/>
  <c r="AH468" i="1"/>
  <c r="C469" i="1"/>
  <c r="R469" i="1"/>
  <c r="S469" i="1"/>
  <c r="T469" i="1"/>
  <c r="U469" i="1"/>
  <c r="AC469" i="1"/>
  <c r="AD469" i="1"/>
  <c r="AH469" i="1"/>
  <c r="C470" i="1"/>
  <c r="R470" i="1"/>
  <c r="S470" i="1"/>
  <c r="T470" i="1"/>
  <c r="U470" i="1"/>
  <c r="AC470" i="1"/>
  <c r="AD470" i="1"/>
  <c r="AH470" i="1"/>
  <c r="AV470" i="1"/>
  <c r="C471" i="1"/>
  <c r="R471" i="1"/>
  <c r="S471" i="1"/>
  <c r="T471" i="1"/>
  <c r="U471" i="1"/>
  <c r="AC471" i="1"/>
  <c r="AD471" i="1"/>
  <c r="C472" i="1"/>
  <c r="R472" i="1"/>
  <c r="S472" i="1"/>
  <c r="T472" i="1"/>
  <c r="U472" i="1"/>
  <c r="AC472" i="1"/>
  <c r="AD472" i="1"/>
  <c r="C473" i="1"/>
  <c r="R473" i="1"/>
  <c r="S473" i="1"/>
  <c r="T473" i="1"/>
  <c r="U473" i="1"/>
  <c r="AC473" i="1"/>
  <c r="AD473" i="1"/>
  <c r="C474" i="1"/>
  <c r="R474" i="1"/>
  <c r="S474" i="1"/>
  <c r="T474" i="1"/>
  <c r="U474" i="1"/>
  <c r="AC474" i="1"/>
  <c r="AD474" i="1"/>
  <c r="C475" i="1"/>
  <c r="R475" i="1"/>
  <c r="S475" i="1"/>
  <c r="T475" i="1"/>
  <c r="U475" i="1"/>
  <c r="AC475" i="1"/>
  <c r="AD475" i="1"/>
  <c r="C476" i="1"/>
  <c r="R476" i="1"/>
  <c r="S476" i="1"/>
  <c r="T476" i="1"/>
  <c r="U476" i="1"/>
  <c r="AC476" i="1"/>
  <c r="AD476" i="1"/>
  <c r="AE476" i="1"/>
  <c r="AF476" i="1"/>
  <c r="C477" i="1"/>
  <c r="R477" i="1"/>
  <c r="S477" i="1"/>
  <c r="T477" i="1"/>
  <c r="U477" i="1"/>
  <c r="AC477" i="1"/>
  <c r="AD477" i="1"/>
  <c r="C478" i="1"/>
  <c r="R478" i="1"/>
  <c r="S478" i="1"/>
  <c r="T478" i="1"/>
  <c r="U478" i="1"/>
  <c r="AC478" i="1"/>
  <c r="AD478" i="1"/>
  <c r="C479" i="1"/>
  <c r="R479" i="1"/>
  <c r="S479" i="1"/>
  <c r="T479" i="1"/>
  <c r="U479" i="1"/>
  <c r="AC479" i="1"/>
  <c r="AD479" i="1"/>
  <c r="C480" i="1"/>
  <c r="R480" i="1"/>
  <c r="S480" i="1"/>
  <c r="T480" i="1"/>
  <c r="U480" i="1"/>
  <c r="AC480" i="1"/>
  <c r="AD480" i="1"/>
  <c r="C481" i="1"/>
  <c r="R481" i="1"/>
  <c r="S481" i="1"/>
  <c r="T481" i="1"/>
  <c r="U481" i="1"/>
  <c r="AC481" i="1"/>
  <c r="AD481" i="1"/>
  <c r="C482" i="1"/>
  <c r="R482" i="1"/>
  <c r="S482" i="1"/>
  <c r="T482" i="1"/>
  <c r="U482" i="1"/>
  <c r="AC482" i="1"/>
  <c r="AD482" i="1"/>
  <c r="C483" i="1"/>
  <c r="R483" i="1"/>
  <c r="S483" i="1"/>
  <c r="T483" i="1"/>
  <c r="U483" i="1"/>
  <c r="AC483" i="1"/>
  <c r="AD483" i="1"/>
  <c r="AE483" i="1"/>
  <c r="AF483" i="1"/>
  <c r="C484" i="1"/>
  <c r="R484" i="1"/>
  <c r="S484" i="1"/>
  <c r="T484" i="1"/>
  <c r="U484" i="1"/>
  <c r="AC484" i="1"/>
  <c r="AD484" i="1"/>
  <c r="C485" i="1"/>
  <c r="R485" i="1"/>
  <c r="S485" i="1"/>
  <c r="T485" i="1"/>
  <c r="U485" i="1"/>
  <c r="AC485" i="1"/>
  <c r="AD485" i="1"/>
  <c r="C486" i="1"/>
  <c r="R486" i="1"/>
  <c r="S486" i="1"/>
  <c r="T486" i="1"/>
  <c r="U486" i="1"/>
  <c r="AC486" i="1"/>
  <c r="AD486" i="1"/>
  <c r="C487" i="1"/>
  <c r="R487" i="1"/>
  <c r="S487" i="1"/>
  <c r="T487" i="1"/>
  <c r="U487" i="1"/>
  <c r="AC487" i="1"/>
  <c r="AD487" i="1"/>
  <c r="C488" i="1"/>
  <c r="R488" i="1"/>
  <c r="S488" i="1"/>
  <c r="T488" i="1"/>
  <c r="U488" i="1"/>
  <c r="AC488" i="1"/>
  <c r="AD488" i="1"/>
  <c r="C489" i="1"/>
  <c r="R489" i="1"/>
  <c r="S489" i="1"/>
  <c r="T489" i="1"/>
  <c r="U489" i="1"/>
  <c r="AC489" i="1"/>
  <c r="AD489" i="1"/>
  <c r="C490" i="1"/>
  <c r="R490" i="1"/>
  <c r="S490" i="1"/>
  <c r="T490" i="1"/>
  <c r="U490" i="1"/>
  <c r="AC490" i="1"/>
  <c r="AD490" i="1"/>
  <c r="C491" i="1"/>
  <c r="R491" i="1"/>
  <c r="S491" i="1"/>
  <c r="T491" i="1"/>
  <c r="U491" i="1"/>
  <c r="AC491" i="1"/>
  <c r="AD491" i="1"/>
  <c r="AE491" i="1"/>
  <c r="AF491" i="1"/>
  <c r="DC491" i="1"/>
  <c r="DD491" i="1"/>
  <c r="C492" i="1"/>
  <c r="R492" i="1"/>
  <c r="S492" i="1"/>
  <c r="T492" i="1"/>
  <c r="U492" i="1"/>
  <c r="AC492" i="1"/>
  <c r="AD492" i="1"/>
  <c r="C493" i="1"/>
  <c r="R493" i="1"/>
  <c r="S493" i="1"/>
  <c r="T493" i="1"/>
  <c r="U493" i="1"/>
  <c r="AC493" i="1"/>
  <c r="AD493" i="1"/>
  <c r="AE493" i="1"/>
  <c r="AF493" i="1"/>
  <c r="C494" i="1"/>
  <c r="R494" i="1"/>
  <c r="S494" i="1"/>
  <c r="T494" i="1"/>
  <c r="U494" i="1"/>
  <c r="AC494" i="1"/>
  <c r="AD494" i="1"/>
  <c r="AE494" i="1"/>
  <c r="AF494" i="1"/>
  <c r="C495" i="1"/>
  <c r="R495" i="1"/>
  <c r="S495" i="1"/>
  <c r="T495" i="1"/>
  <c r="U495" i="1"/>
  <c r="AC495" i="1"/>
  <c r="AD495" i="1"/>
  <c r="AE495" i="1"/>
  <c r="AF495" i="1"/>
  <c r="C496" i="1"/>
  <c r="R496" i="1"/>
  <c r="S496" i="1"/>
  <c r="T496" i="1"/>
  <c r="U496" i="1"/>
  <c r="AC496" i="1"/>
  <c r="AD496" i="1"/>
  <c r="AE496" i="1"/>
  <c r="AF496" i="1"/>
  <c r="AH496" i="1"/>
  <c r="C497" i="1"/>
  <c r="R497" i="1"/>
  <c r="S497" i="1"/>
  <c r="T497" i="1"/>
  <c r="U497" i="1"/>
  <c r="AC497" i="1"/>
  <c r="AD497" i="1"/>
  <c r="C498" i="1"/>
  <c r="R498" i="1"/>
  <c r="S498" i="1"/>
  <c r="T498" i="1"/>
  <c r="U498" i="1"/>
  <c r="AC498" i="1"/>
  <c r="AD498" i="1"/>
  <c r="C499" i="1"/>
  <c r="R499" i="1"/>
  <c r="S499" i="1"/>
  <c r="T499" i="1"/>
  <c r="U499" i="1"/>
  <c r="AC499" i="1"/>
  <c r="AD499" i="1"/>
  <c r="C500" i="1"/>
  <c r="R500" i="1"/>
  <c r="S500" i="1"/>
  <c r="T500" i="1"/>
  <c r="U500" i="1"/>
  <c r="AC500" i="1"/>
  <c r="AD500" i="1"/>
  <c r="C501" i="1"/>
  <c r="R501" i="1"/>
  <c r="S501" i="1"/>
  <c r="T501" i="1"/>
  <c r="U501" i="1"/>
  <c r="AC501" i="1"/>
  <c r="AD501" i="1"/>
  <c r="AE501" i="1"/>
  <c r="AF501" i="1"/>
  <c r="C502" i="1"/>
  <c r="R502" i="1"/>
  <c r="S502" i="1"/>
  <c r="T502" i="1"/>
  <c r="U502" i="1"/>
  <c r="AC502" i="1"/>
  <c r="AD502" i="1"/>
  <c r="AE502" i="1"/>
  <c r="AF502" i="1"/>
  <c r="C503" i="1"/>
  <c r="R503" i="1"/>
  <c r="S503" i="1"/>
  <c r="T503" i="1"/>
  <c r="U503" i="1"/>
  <c r="AC503" i="1"/>
  <c r="AD503" i="1"/>
  <c r="C504" i="1"/>
  <c r="R504" i="1"/>
  <c r="S504" i="1"/>
  <c r="T504" i="1"/>
  <c r="U504" i="1"/>
  <c r="AC504" i="1"/>
  <c r="AD504" i="1"/>
  <c r="C505" i="1"/>
  <c r="R505" i="1"/>
  <c r="S505" i="1"/>
  <c r="T505" i="1"/>
  <c r="U505" i="1"/>
  <c r="AC505" i="1"/>
  <c r="AD505" i="1"/>
  <c r="C506" i="1"/>
  <c r="R506" i="1"/>
  <c r="S506" i="1"/>
  <c r="T506" i="1"/>
  <c r="U506" i="1"/>
  <c r="AC506" i="1"/>
  <c r="AD506" i="1"/>
  <c r="C507" i="1"/>
  <c r="R507" i="1"/>
  <c r="S507" i="1"/>
  <c r="T507" i="1"/>
  <c r="U507" i="1"/>
  <c r="AC507" i="1"/>
  <c r="AD507" i="1"/>
  <c r="AE507" i="1"/>
  <c r="AF507" i="1"/>
  <c r="C508" i="1"/>
  <c r="R508" i="1"/>
  <c r="S508" i="1"/>
  <c r="T508" i="1"/>
  <c r="U508" i="1"/>
  <c r="AC508" i="1"/>
  <c r="AD508" i="1"/>
  <c r="AH508" i="1"/>
  <c r="C509" i="1"/>
  <c r="R509" i="1"/>
  <c r="S509" i="1"/>
  <c r="T509" i="1"/>
  <c r="U509" i="1"/>
  <c r="AC509" i="1"/>
  <c r="AD509" i="1"/>
  <c r="C510" i="1"/>
  <c r="R510" i="1"/>
  <c r="S510" i="1"/>
  <c r="T510" i="1"/>
  <c r="U510" i="1"/>
  <c r="AC510" i="1"/>
  <c r="AD510" i="1"/>
  <c r="C511" i="1"/>
  <c r="R511" i="1"/>
  <c r="S511" i="1"/>
  <c r="T511" i="1"/>
  <c r="U511" i="1"/>
  <c r="AC511" i="1"/>
  <c r="AD511" i="1"/>
  <c r="AE511" i="1"/>
  <c r="AF511" i="1"/>
  <c r="C512" i="1"/>
  <c r="R512" i="1"/>
  <c r="S512" i="1"/>
  <c r="T512" i="1"/>
  <c r="U512" i="1"/>
  <c r="AC512" i="1"/>
  <c r="AD512" i="1"/>
  <c r="AH512" i="1"/>
  <c r="C513" i="1"/>
  <c r="R513" i="1"/>
  <c r="S513" i="1"/>
  <c r="T513" i="1"/>
  <c r="U513" i="1"/>
  <c r="AC513" i="1"/>
  <c r="AD513" i="1"/>
  <c r="AH513" i="1"/>
  <c r="C514" i="1"/>
  <c r="R514" i="1"/>
  <c r="S514" i="1"/>
  <c r="T514" i="1"/>
  <c r="U514" i="1"/>
  <c r="AC514" i="1"/>
  <c r="AD514" i="1"/>
  <c r="AH514" i="1"/>
  <c r="C515" i="1"/>
  <c r="R515" i="1"/>
  <c r="S515" i="1"/>
  <c r="T515" i="1"/>
  <c r="U515" i="1"/>
  <c r="AC515" i="1"/>
  <c r="AD515" i="1"/>
  <c r="AH515" i="1"/>
  <c r="C516" i="1"/>
  <c r="R516" i="1"/>
  <c r="S516" i="1"/>
  <c r="T516" i="1"/>
  <c r="U516" i="1"/>
  <c r="AC516" i="1"/>
  <c r="AD516" i="1"/>
  <c r="C517" i="1"/>
  <c r="R517" i="1"/>
  <c r="S517" i="1"/>
  <c r="T517" i="1"/>
  <c r="U517" i="1"/>
  <c r="AC517" i="1"/>
  <c r="AD517" i="1"/>
  <c r="AH517" i="1"/>
  <c r="C518" i="1"/>
  <c r="R518" i="1"/>
  <c r="S518" i="1"/>
  <c r="T518" i="1"/>
  <c r="U518" i="1"/>
  <c r="AC518" i="1"/>
  <c r="AD518" i="1"/>
  <c r="AH518" i="1"/>
  <c r="AV518" i="1"/>
  <c r="C519" i="1"/>
  <c r="R519" i="1"/>
  <c r="S519" i="1"/>
  <c r="T519" i="1"/>
  <c r="U519" i="1"/>
  <c r="AC519" i="1"/>
  <c r="AD519" i="1"/>
  <c r="AH519" i="1"/>
  <c r="C520" i="1"/>
  <c r="R520" i="1"/>
  <c r="S520" i="1"/>
  <c r="T520" i="1"/>
  <c r="U520" i="1"/>
  <c r="AC520" i="1"/>
  <c r="AD520" i="1"/>
  <c r="AE520" i="1"/>
  <c r="AF520" i="1"/>
  <c r="C521" i="1"/>
  <c r="R521" i="1"/>
  <c r="S521" i="1"/>
  <c r="T521" i="1"/>
  <c r="U521" i="1"/>
  <c r="AC521" i="1"/>
  <c r="AD521" i="1"/>
  <c r="AE521" i="1"/>
  <c r="AF521" i="1"/>
  <c r="AH521" i="1"/>
  <c r="C522" i="1"/>
  <c r="R522" i="1"/>
  <c r="S522" i="1"/>
  <c r="T522" i="1"/>
  <c r="U522" i="1"/>
  <c r="AC522" i="1"/>
  <c r="AD522" i="1"/>
  <c r="C523" i="1"/>
  <c r="R523" i="1"/>
  <c r="S523" i="1"/>
  <c r="T523" i="1"/>
  <c r="U523" i="1"/>
  <c r="AC523" i="1"/>
  <c r="AD523" i="1"/>
  <c r="AH523" i="1"/>
  <c r="C524" i="1"/>
  <c r="R524" i="1"/>
  <c r="S524" i="1"/>
  <c r="T524" i="1"/>
  <c r="U524" i="1"/>
  <c r="AC524" i="1"/>
  <c r="AD524" i="1"/>
  <c r="C525" i="1"/>
  <c r="R525" i="1"/>
  <c r="S525" i="1"/>
  <c r="T525" i="1"/>
  <c r="U525" i="1"/>
  <c r="AC525" i="1"/>
  <c r="AD525" i="1"/>
  <c r="C526" i="1"/>
  <c r="R526" i="1"/>
  <c r="S526" i="1"/>
  <c r="T526" i="1"/>
  <c r="U526" i="1"/>
  <c r="AC526" i="1"/>
  <c r="AD526" i="1"/>
  <c r="AH526" i="1"/>
  <c r="C527" i="1"/>
  <c r="R527" i="1"/>
  <c r="S527" i="1"/>
  <c r="T527" i="1"/>
  <c r="U527" i="1"/>
  <c r="AC527" i="1"/>
  <c r="AD527" i="1"/>
  <c r="AH527" i="1"/>
  <c r="C528" i="1"/>
  <c r="R528" i="1"/>
  <c r="S528" i="1"/>
  <c r="T528" i="1"/>
  <c r="U528" i="1"/>
  <c r="AC528" i="1"/>
  <c r="AD528" i="1"/>
  <c r="AH528" i="1"/>
  <c r="C529" i="1"/>
  <c r="R529" i="1"/>
  <c r="S529" i="1"/>
  <c r="T529" i="1"/>
  <c r="U529" i="1"/>
  <c r="AC529" i="1"/>
  <c r="AD529" i="1"/>
  <c r="AH529" i="1"/>
  <c r="C530" i="1"/>
  <c r="R530" i="1"/>
  <c r="S530" i="1"/>
  <c r="T530" i="1"/>
  <c r="U530" i="1"/>
  <c r="AC530" i="1"/>
  <c r="AD530" i="1"/>
  <c r="C531" i="1"/>
  <c r="R531" i="1"/>
  <c r="S531" i="1"/>
  <c r="T531" i="1"/>
  <c r="U531" i="1"/>
  <c r="AC531" i="1"/>
  <c r="AD531" i="1"/>
  <c r="AE531" i="1"/>
  <c r="AF531" i="1"/>
  <c r="AH531" i="1"/>
  <c r="C532" i="1"/>
  <c r="R532" i="1"/>
  <c r="S532" i="1"/>
  <c r="T532" i="1"/>
  <c r="U532" i="1"/>
  <c r="AC532" i="1"/>
  <c r="AD532" i="1"/>
  <c r="AH532" i="1"/>
  <c r="C533" i="1"/>
  <c r="R533" i="1"/>
  <c r="S533" i="1"/>
  <c r="T533" i="1"/>
  <c r="U533" i="1"/>
  <c r="AC533" i="1"/>
  <c r="AD533" i="1"/>
  <c r="AH533" i="1"/>
  <c r="C534" i="1"/>
  <c r="R534" i="1"/>
  <c r="S534" i="1"/>
  <c r="T534" i="1"/>
  <c r="U534" i="1"/>
  <c r="AC534" i="1"/>
  <c r="AD534" i="1"/>
  <c r="AH534" i="1"/>
  <c r="C535" i="1"/>
  <c r="R535" i="1"/>
  <c r="S535" i="1"/>
  <c r="T535" i="1"/>
  <c r="U535" i="1"/>
  <c r="AC535" i="1"/>
  <c r="AD535" i="1"/>
  <c r="AH535" i="1"/>
  <c r="C536" i="1"/>
  <c r="R536" i="1"/>
  <c r="S536" i="1"/>
  <c r="T536" i="1"/>
  <c r="U536" i="1"/>
  <c r="AC536" i="1"/>
  <c r="AD536" i="1"/>
  <c r="AH536" i="1"/>
  <c r="C537" i="1"/>
  <c r="R537" i="1"/>
  <c r="S537" i="1"/>
  <c r="T537" i="1"/>
  <c r="U537" i="1"/>
  <c r="AC537" i="1"/>
  <c r="AD537" i="1"/>
  <c r="AH537" i="1"/>
  <c r="C538" i="1"/>
  <c r="R538" i="1"/>
  <c r="S538" i="1"/>
  <c r="T538" i="1"/>
  <c r="U538" i="1"/>
  <c r="AC538" i="1"/>
  <c r="AD538" i="1"/>
  <c r="AE538" i="1"/>
  <c r="AF538" i="1"/>
  <c r="AH538" i="1"/>
  <c r="C539" i="1"/>
  <c r="R539" i="1"/>
  <c r="S539" i="1"/>
  <c r="T539" i="1"/>
  <c r="U539" i="1"/>
  <c r="AC539" i="1"/>
  <c r="AD539" i="1"/>
  <c r="AE539" i="1"/>
  <c r="AF539" i="1"/>
  <c r="C540" i="1"/>
  <c r="R540" i="1"/>
  <c r="S540" i="1"/>
  <c r="T540" i="1"/>
  <c r="U540" i="1"/>
  <c r="AC540" i="1"/>
  <c r="AD540" i="1"/>
  <c r="AH540" i="1"/>
  <c r="C541" i="1"/>
  <c r="R541" i="1"/>
  <c r="S541" i="1"/>
  <c r="T541" i="1"/>
  <c r="U541" i="1"/>
  <c r="AC541" i="1"/>
  <c r="AD541" i="1"/>
  <c r="C542" i="1"/>
  <c r="R542" i="1"/>
  <c r="S542" i="1"/>
  <c r="T542" i="1"/>
  <c r="U542" i="1"/>
  <c r="AC542" i="1"/>
  <c r="AD542" i="1"/>
  <c r="AH542" i="1"/>
  <c r="C543" i="1"/>
  <c r="R543" i="1"/>
  <c r="S543" i="1"/>
  <c r="T543" i="1"/>
  <c r="U543" i="1"/>
  <c r="AC543" i="1"/>
  <c r="AD543" i="1"/>
  <c r="AH543" i="1"/>
  <c r="AV543" i="1"/>
  <c r="C544" i="1"/>
  <c r="R544" i="1"/>
  <c r="S544" i="1"/>
  <c r="T544" i="1"/>
  <c r="U544" i="1"/>
  <c r="AC544" i="1"/>
  <c r="AD544" i="1"/>
  <c r="AH544" i="1"/>
  <c r="C545" i="1"/>
  <c r="R545" i="1"/>
  <c r="S545" i="1"/>
  <c r="T545" i="1"/>
  <c r="U545" i="1"/>
  <c r="AC545" i="1"/>
  <c r="AD545" i="1"/>
  <c r="AH545" i="1"/>
  <c r="C546" i="1"/>
  <c r="R546" i="1"/>
  <c r="S546" i="1"/>
  <c r="T546" i="1"/>
  <c r="U546" i="1"/>
  <c r="AC546" i="1"/>
  <c r="AD546" i="1"/>
  <c r="AE546" i="1"/>
  <c r="AF546" i="1"/>
  <c r="C547" i="1"/>
  <c r="R547" i="1"/>
  <c r="S547" i="1"/>
  <c r="T547" i="1"/>
  <c r="U547" i="1"/>
  <c r="AC547" i="1"/>
  <c r="AD547" i="1"/>
  <c r="C548" i="1"/>
  <c r="R548" i="1"/>
  <c r="S548" i="1"/>
  <c r="T548" i="1"/>
  <c r="U548" i="1"/>
  <c r="AC548" i="1"/>
  <c r="AD548" i="1"/>
  <c r="C549" i="1"/>
  <c r="R549" i="1"/>
  <c r="S549" i="1"/>
  <c r="T549" i="1"/>
  <c r="U549" i="1"/>
  <c r="AC549" i="1"/>
  <c r="AD549" i="1"/>
  <c r="AH549" i="1"/>
  <c r="C550" i="1"/>
  <c r="R550" i="1"/>
  <c r="S550" i="1"/>
  <c r="T550" i="1"/>
  <c r="U550" i="1"/>
  <c r="AC550" i="1"/>
  <c r="AD550" i="1"/>
  <c r="AE550" i="1"/>
  <c r="AF550" i="1"/>
  <c r="C551" i="1"/>
  <c r="R551" i="1"/>
  <c r="S551" i="1"/>
  <c r="T551" i="1"/>
  <c r="U551" i="1"/>
  <c r="AC551" i="1"/>
  <c r="AD551" i="1"/>
  <c r="C552" i="1"/>
  <c r="R552" i="1"/>
  <c r="S552" i="1"/>
  <c r="T552" i="1"/>
  <c r="U552" i="1"/>
  <c r="AC552" i="1"/>
  <c r="AD552" i="1"/>
  <c r="C553" i="1"/>
  <c r="R553" i="1"/>
  <c r="S553" i="1"/>
  <c r="T553" i="1"/>
  <c r="U553" i="1"/>
  <c r="AC553" i="1"/>
  <c r="AD553" i="1"/>
  <c r="C554" i="1"/>
  <c r="R554" i="1"/>
  <c r="S554" i="1"/>
  <c r="T554" i="1"/>
  <c r="U554" i="1"/>
  <c r="AC554" i="1"/>
  <c r="AD554" i="1"/>
  <c r="C555" i="1"/>
  <c r="R555" i="1"/>
  <c r="S555" i="1"/>
  <c r="T555" i="1"/>
  <c r="U555" i="1"/>
  <c r="AC555" i="1"/>
  <c r="AD555" i="1"/>
  <c r="C556" i="1"/>
  <c r="R556" i="1"/>
  <c r="S556" i="1"/>
  <c r="T556" i="1"/>
  <c r="U556" i="1"/>
  <c r="AC556" i="1"/>
  <c r="AD556" i="1"/>
  <c r="C557" i="1"/>
  <c r="R557" i="1"/>
  <c r="S557" i="1"/>
  <c r="T557" i="1"/>
  <c r="U557" i="1"/>
  <c r="AC557" i="1"/>
  <c r="AD557" i="1"/>
  <c r="C558" i="1"/>
  <c r="R558" i="1"/>
  <c r="S558" i="1"/>
  <c r="T558" i="1"/>
  <c r="U558" i="1"/>
  <c r="AC558" i="1"/>
  <c r="AD558" i="1"/>
  <c r="C559" i="1"/>
  <c r="R559" i="1"/>
  <c r="S559" i="1"/>
  <c r="T559" i="1"/>
  <c r="U559" i="1"/>
  <c r="AC559" i="1"/>
  <c r="AD559" i="1"/>
  <c r="AE559" i="1"/>
  <c r="AF559" i="1"/>
  <c r="C560" i="1"/>
  <c r="R560" i="1"/>
  <c r="S560" i="1"/>
  <c r="T560" i="1"/>
  <c r="U560" i="1"/>
  <c r="AC560" i="1"/>
  <c r="AD560" i="1"/>
  <c r="AH560" i="1"/>
  <c r="C561" i="1"/>
  <c r="R561" i="1"/>
  <c r="S561" i="1"/>
  <c r="T561" i="1"/>
  <c r="U561" i="1"/>
  <c r="AC561" i="1"/>
  <c r="AD561" i="1"/>
  <c r="C562" i="1"/>
  <c r="R562" i="1"/>
  <c r="S562" i="1"/>
  <c r="T562" i="1"/>
  <c r="U562" i="1"/>
  <c r="AC562" i="1"/>
  <c r="AD562" i="1"/>
  <c r="C563" i="1"/>
  <c r="R563" i="1"/>
  <c r="S563" i="1"/>
  <c r="T563" i="1"/>
  <c r="U563" i="1"/>
  <c r="AC563" i="1"/>
  <c r="AD563" i="1"/>
  <c r="AH563" i="1"/>
  <c r="C564" i="1"/>
  <c r="R564" i="1"/>
  <c r="S564" i="1"/>
  <c r="T564" i="1"/>
  <c r="U564" i="1"/>
  <c r="AC564" i="1"/>
  <c r="AD564" i="1"/>
  <c r="AH564" i="1"/>
  <c r="C565" i="1"/>
  <c r="R565" i="1"/>
  <c r="S565" i="1"/>
  <c r="T565" i="1"/>
  <c r="U565" i="1"/>
  <c r="AC565" i="1"/>
  <c r="AD565" i="1"/>
  <c r="AH565" i="1"/>
  <c r="C566" i="1"/>
  <c r="R566" i="1"/>
  <c r="S566" i="1"/>
  <c r="T566" i="1"/>
  <c r="U566" i="1"/>
  <c r="AC566" i="1"/>
  <c r="AD566" i="1"/>
  <c r="C567" i="1"/>
  <c r="R567" i="1"/>
  <c r="S567" i="1"/>
  <c r="T567" i="1"/>
  <c r="U567" i="1"/>
  <c r="AC567" i="1"/>
  <c r="AD567" i="1"/>
  <c r="AH567" i="1"/>
  <c r="C568" i="1"/>
  <c r="R568" i="1"/>
  <c r="S568" i="1"/>
  <c r="T568" i="1"/>
  <c r="U568" i="1"/>
  <c r="AC568" i="1"/>
  <c r="AD568" i="1"/>
  <c r="AH568" i="1"/>
  <c r="C569" i="1"/>
  <c r="R569" i="1"/>
  <c r="S569" i="1"/>
  <c r="T569" i="1"/>
  <c r="U569" i="1"/>
  <c r="AC569" i="1"/>
  <c r="AD569" i="1"/>
  <c r="C570" i="1"/>
  <c r="R570" i="1"/>
  <c r="S570" i="1"/>
  <c r="T570" i="1"/>
  <c r="U570" i="1"/>
  <c r="AC570" i="1"/>
  <c r="AD570" i="1"/>
  <c r="AH570" i="1"/>
  <c r="C571" i="1"/>
  <c r="R571" i="1"/>
  <c r="S571" i="1"/>
  <c r="T571" i="1"/>
  <c r="U571" i="1"/>
  <c r="AC571" i="1"/>
  <c r="AD571" i="1"/>
  <c r="AH571" i="1"/>
  <c r="C572" i="1"/>
  <c r="R572" i="1"/>
  <c r="S572" i="1"/>
  <c r="T572" i="1"/>
  <c r="U572" i="1"/>
  <c r="AC572" i="1"/>
  <c r="AD572" i="1"/>
  <c r="C573" i="1"/>
  <c r="R573" i="1"/>
  <c r="S573" i="1"/>
  <c r="T573" i="1"/>
  <c r="U573" i="1"/>
  <c r="AC573" i="1"/>
  <c r="AD573" i="1"/>
  <c r="AH573" i="1"/>
  <c r="C574" i="1"/>
  <c r="R574" i="1"/>
  <c r="S574" i="1"/>
  <c r="T574" i="1"/>
  <c r="U574" i="1"/>
  <c r="AC574" i="1"/>
  <c r="AD574" i="1"/>
  <c r="AH574" i="1"/>
  <c r="C575" i="1"/>
  <c r="R575" i="1"/>
  <c r="S575" i="1"/>
  <c r="T575" i="1"/>
  <c r="U575" i="1"/>
  <c r="AC575" i="1"/>
  <c r="AD575" i="1"/>
  <c r="AH575" i="1"/>
  <c r="C576" i="1"/>
  <c r="R576" i="1"/>
  <c r="S576" i="1"/>
  <c r="T576" i="1"/>
  <c r="U576" i="1"/>
  <c r="AC576" i="1"/>
  <c r="AD576" i="1"/>
  <c r="AE576" i="1"/>
  <c r="AF576" i="1"/>
  <c r="AH576" i="1"/>
  <c r="C577" i="1"/>
  <c r="R577" i="1"/>
  <c r="S577" i="1"/>
  <c r="T577" i="1"/>
  <c r="U577" i="1"/>
  <c r="AC577" i="1"/>
  <c r="AD577" i="1"/>
  <c r="C578" i="1"/>
  <c r="R578" i="1"/>
  <c r="S578" i="1"/>
  <c r="T578" i="1"/>
  <c r="U578" i="1"/>
  <c r="AC578" i="1"/>
  <c r="AD578" i="1"/>
  <c r="C579" i="1"/>
  <c r="R579" i="1"/>
  <c r="S579" i="1"/>
  <c r="T579" i="1"/>
  <c r="U579" i="1"/>
  <c r="AC579" i="1"/>
  <c r="AD579" i="1"/>
  <c r="AH579" i="1"/>
  <c r="C580" i="1"/>
  <c r="R580" i="1"/>
  <c r="S580" i="1"/>
  <c r="T580" i="1"/>
  <c r="U580" i="1"/>
  <c r="AC580" i="1"/>
  <c r="AD580" i="1"/>
  <c r="AH580" i="1"/>
  <c r="C581" i="1"/>
  <c r="R581" i="1"/>
  <c r="S581" i="1"/>
  <c r="T581" i="1"/>
  <c r="U581" i="1"/>
  <c r="AC581" i="1"/>
  <c r="AD581" i="1"/>
  <c r="AE581" i="1"/>
  <c r="AF581" i="1"/>
  <c r="AH581" i="1"/>
  <c r="C582" i="1"/>
  <c r="R582" i="1"/>
  <c r="S582" i="1"/>
  <c r="T582" i="1"/>
  <c r="U582" i="1"/>
  <c r="AC582" i="1"/>
  <c r="AD582" i="1"/>
  <c r="AH582" i="1"/>
  <c r="C583" i="1"/>
  <c r="R583" i="1"/>
  <c r="S583" i="1"/>
  <c r="T583" i="1"/>
  <c r="U583" i="1"/>
  <c r="AC583" i="1"/>
  <c r="AD583" i="1"/>
  <c r="AH583" i="1"/>
  <c r="AV583" i="1"/>
  <c r="C584" i="1"/>
  <c r="R584" i="1"/>
  <c r="S584" i="1"/>
  <c r="T584" i="1"/>
  <c r="U584" i="1"/>
  <c r="AC584" i="1"/>
  <c r="AD584" i="1"/>
  <c r="AH584" i="1"/>
  <c r="C585" i="1"/>
  <c r="R585" i="1"/>
  <c r="S585" i="1"/>
  <c r="T585" i="1"/>
  <c r="U585" i="1"/>
  <c r="AC585" i="1"/>
  <c r="AD585" i="1"/>
  <c r="AH585" i="1"/>
  <c r="C586" i="1"/>
  <c r="R586" i="1"/>
  <c r="S586" i="1"/>
  <c r="T586" i="1"/>
  <c r="U586" i="1"/>
  <c r="AC586" i="1"/>
  <c r="AD586" i="1"/>
  <c r="AH586" i="1"/>
  <c r="C587" i="1"/>
  <c r="R587" i="1"/>
  <c r="S587" i="1"/>
  <c r="T587" i="1"/>
  <c r="U587" i="1"/>
  <c r="AC587" i="1"/>
  <c r="AD587" i="1"/>
  <c r="AH587" i="1"/>
  <c r="C588" i="1"/>
  <c r="R588" i="1"/>
  <c r="S588" i="1"/>
  <c r="T588" i="1"/>
  <c r="U588" i="1"/>
  <c r="AC588" i="1"/>
  <c r="AD588" i="1"/>
  <c r="AH588" i="1"/>
  <c r="C589" i="1"/>
  <c r="R589" i="1"/>
  <c r="S589" i="1"/>
  <c r="T589" i="1"/>
  <c r="U589" i="1"/>
  <c r="AC589" i="1"/>
  <c r="AD589" i="1"/>
  <c r="AH589" i="1"/>
  <c r="C590" i="1"/>
  <c r="R590" i="1"/>
  <c r="S590" i="1"/>
  <c r="T590" i="1"/>
  <c r="U590" i="1"/>
  <c r="AC590" i="1"/>
  <c r="AD590" i="1"/>
  <c r="AH590" i="1"/>
  <c r="C591" i="1"/>
  <c r="R591" i="1"/>
  <c r="S591" i="1"/>
  <c r="T591" i="1"/>
  <c r="U591" i="1"/>
  <c r="AC591" i="1"/>
  <c r="AD591" i="1"/>
  <c r="C592" i="1"/>
  <c r="R592" i="1"/>
  <c r="S592" i="1"/>
  <c r="T592" i="1"/>
  <c r="U592" i="1"/>
  <c r="AC592" i="1"/>
  <c r="AD592" i="1"/>
  <c r="C593" i="1"/>
  <c r="R593" i="1"/>
  <c r="S593" i="1"/>
  <c r="T593" i="1"/>
  <c r="U593" i="1"/>
  <c r="AC593" i="1"/>
  <c r="AD593" i="1"/>
  <c r="AH593" i="1"/>
  <c r="C594" i="1"/>
  <c r="R594" i="1"/>
  <c r="S594" i="1"/>
  <c r="T594" i="1"/>
  <c r="U594" i="1"/>
  <c r="AC594" i="1"/>
  <c r="AD594" i="1"/>
  <c r="AE594" i="1"/>
  <c r="AF594" i="1"/>
  <c r="AH594" i="1"/>
  <c r="CZ594" i="1"/>
  <c r="C595" i="1"/>
  <c r="R595" i="1"/>
  <c r="S595" i="1"/>
  <c r="T595" i="1"/>
  <c r="U595" i="1"/>
  <c r="AC595" i="1"/>
  <c r="AD595" i="1"/>
  <c r="AH595" i="1"/>
  <c r="C596" i="1"/>
  <c r="R596" i="1"/>
  <c r="S596" i="1"/>
  <c r="T596" i="1"/>
  <c r="U596" i="1"/>
  <c r="AC596" i="1"/>
  <c r="AD596" i="1"/>
  <c r="AH596" i="1"/>
  <c r="C597" i="1"/>
  <c r="R597" i="1"/>
  <c r="S597" i="1"/>
  <c r="T597" i="1"/>
  <c r="U597" i="1"/>
  <c r="AC597" i="1"/>
  <c r="AD597" i="1"/>
  <c r="AH597" i="1"/>
  <c r="C598" i="1"/>
  <c r="R598" i="1"/>
  <c r="S598" i="1"/>
  <c r="T598" i="1"/>
  <c r="U598" i="1"/>
  <c r="AC598" i="1"/>
  <c r="AD598" i="1"/>
  <c r="AH598" i="1"/>
  <c r="C599" i="1"/>
  <c r="R599" i="1"/>
  <c r="S599" i="1"/>
  <c r="T599" i="1"/>
  <c r="U599" i="1"/>
  <c r="AC599" i="1"/>
  <c r="AD599" i="1"/>
  <c r="AH599" i="1"/>
  <c r="C600" i="1"/>
  <c r="R600" i="1"/>
  <c r="S600" i="1"/>
  <c r="T600" i="1"/>
  <c r="U600" i="1"/>
  <c r="AC600" i="1"/>
  <c r="AD600" i="1"/>
  <c r="AH600" i="1"/>
  <c r="C601" i="1"/>
  <c r="R601" i="1"/>
  <c r="S601" i="1"/>
  <c r="T601" i="1"/>
  <c r="U601" i="1"/>
  <c r="AC601" i="1"/>
  <c r="AD601" i="1"/>
  <c r="AH601" i="1"/>
  <c r="C602" i="1"/>
  <c r="R602" i="1"/>
  <c r="S602" i="1"/>
  <c r="T602" i="1"/>
  <c r="U602" i="1"/>
  <c r="AC602" i="1"/>
  <c r="AD602" i="1"/>
  <c r="AH602" i="1"/>
  <c r="C603" i="1"/>
  <c r="R603" i="1"/>
  <c r="S603" i="1"/>
  <c r="T603" i="1"/>
  <c r="U603" i="1"/>
  <c r="AC603" i="1"/>
  <c r="AD603" i="1"/>
  <c r="AH603" i="1"/>
  <c r="C604" i="1"/>
  <c r="R604" i="1"/>
  <c r="S604" i="1"/>
  <c r="T604" i="1"/>
  <c r="U604" i="1"/>
  <c r="AC604" i="1"/>
  <c r="AD604" i="1"/>
  <c r="AH604" i="1"/>
  <c r="C605" i="1"/>
  <c r="R605" i="1"/>
  <c r="S605" i="1"/>
  <c r="T605" i="1"/>
  <c r="U605" i="1"/>
  <c r="AC605" i="1"/>
  <c r="AD605" i="1"/>
  <c r="AH605" i="1"/>
  <c r="C606" i="1"/>
  <c r="R606" i="1"/>
  <c r="S606" i="1"/>
  <c r="T606" i="1"/>
  <c r="U606" i="1"/>
  <c r="AC606" i="1"/>
  <c r="AD606" i="1"/>
  <c r="AH606" i="1"/>
  <c r="C607" i="1"/>
  <c r="R607" i="1"/>
  <c r="S607" i="1"/>
  <c r="T607" i="1"/>
  <c r="U607" i="1"/>
  <c r="AC607" i="1"/>
  <c r="AD607" i="1"/>
  <c r="AH607" i="1"/>
  <c r="C608" i="1"/>
  <c r="R608" i="1"/>
  <c r="S608" i="1"/>
  <c r="T608" i="1"/>
  <c r="U608" i="1"/>
  <c r="AC608" i="1"/>
  <c r="AD608" i="1"/>
  <c r="AH608" i="1"/>
  <c r="C609" i="1"/>
  <c r="R609" i="1"/>
  <c r="S609" i="1"/>
  <c r="T609" i="1"/>
  <c r="U609" i="1"/>
  <c r="AC609" i="1"/>
  <c r="AD609" i="1"/>
  <c r="AH609" i="1"/>
  <c r="C610" i="1"/>
  <c r="R610" i="1"/>
  <c r="S610" i="1"/>
  <c r="T610" i="1"/>
  <c r="U610" i="1"/>
  <c r="AC610" i="1"/>
  <c r="AD610" i="1"/>
  <c r="AH610" i="1"/>
  <c r="C611" i="1"/>
  <c r="R611" i="1"/>
  <c r="S611" i="1"/>
  <c r="T611" i="1"/>
  <c r="U611" i="1"/>
  <c r="AC611" i="1"/>
  <c r="AD611" i="1"/>
  <c r="C612" i="1"/>
  <c r="R612" i="1"/>
  <c r="S612" i="1"/>
  <c r="T612" i="1"/>
  <c r="U612" i="1"/>
  <c r="AC612" i="1"/>
  <c r="AD612" i="1"/>
  <c r="AH612" i="1"/>
  <c r="C613" i="1"/>
  <c r="R613" i="1"/>
  <c r="S613" i="1"/>
  <c r="T613" i="1"/>
  <c r="U613" i="1"/>
  <c r="AC613" i="1"/>
  <c r="AD613" i="1"/>
  <c r="AH613" i="1"/>
  <c r="C614" i="1"/>
  <c r="R614" i="1"/>
  <c r="S614" i="1"/>
  <c r="T614" i="1"/>
  <c r="U614" i="1"/>
  <c r="AC614" i="1"/>
  <c r="AD614" i="1"/>
  <c r="AH614" i="1"/>
  <c r="C615" i="1"/>
  <c r="R615" i="1"/>
  <c r="S615" i="1"/>
  <c r="T615" i="1"/>
  <c r="U615" i="1"/>
  <c r="AC615" i="1"/>
  <c r="AD615" i="1"/>
  <c r="C616" i="1"/>
  <c r="R616" i="1"/>
  <c r="S616" i="1"/>
  <c r="T616" i="1"/>
  <c r="U616" i="1"/>
  <c r="AC616" i="1"/>
  <c r="AD616" i="1"/>
  <c r="AH616" i="1"/>
  <c r="AV616" i="1"/>
  <c r="C617" i="1"/>
  <c r="R617" i="1"/>
  <c r="S617" i="1"/>
  <c r="T617" i="1"/>
  <c r="U617" i="1"/>
  <c r="AC617" i="1"/>
  <c r="AD617" i="1"/>
  <c r="AE617" i="1"/>
  <c r="AF617" i="1"/>
  <c r="AH617" i="1"/>
  <c r="AV617" i="1"/>
  <c r="C618" i="1"/>
  <c r="R618" i="1"/>
  <c r="S618" i="1"/>
  <c r="T618" i="1"/>
  <c r="U618" i="1"/>
  <c r="AC618" i="1"/>
  <c r="AD618" i="1"/>
  <c r="AH618" i="1"/>
  <c r="C619" i="1"/>
  <c r="R619" i="1"/>
  <c r="S619" i="1"/>
  <c r="T619" i="1"/>
  <c r="U619" i="1"/>
  <c r="AC619" i="1"/>
  <c r="AD619" i="1"/>
  <c r="AH619" i="1"/>
  <c r="C620" i="1"/>
  <c r="R620" i="1"/>
  <c r="S620" i="1"/>
  <c r="T620" i="1"/>
  <c r="U620" i="1"/>
  <c r="AC620" i="1"/>
  <c r="AD620" i="1"/>
  <c r="C621" i="1"/>
  <c r="R621" i="1"/>
  <c r="S621" i="1"/>
  <c r="T621" i="1"/>
  <c r="U621" i="1"/>
  <c r="AC621" i="1"/>
  <c r="AD621" i="1"/>
  <c r="C622" i="1"/>
  <c r="R622" i="1"/>
  <c r="S622" i="1"/>
  <c r="T622" i="1"/>
  <c r="U622" i="1"/>
  <c r="AC622" i="1"/>
  <c r="AD622" i="1"/>
  <c r="AH622" i="1"/>
  <c r="C623" i="1"/>
  <c r="R623" i="1"/>
  <c r="S623" i="1"/>
  <c r="T623" i="1"/>
  <c r="U623" i="1"/>
  <c r="AC623" i="1"/>
  <c r="AD623" i="1"/>
  <c r="AH623" i="1"/>
  <c r="C624" i="1"/>
  <c r="R624" i="1"/>
  <c r="S624" i="1"/>
  <c r="T624" i="1"/>
  <c r="U624" i="1"/>
  <c r="AC624" i="1"/>
  <c r="AD624" i="1"/>
  <c r="AH624" i="1"/>
  <c r="C625" i="1"/>
  <c r="R625" i="1"/>
  <c r="S625" i="1"/>
  <c r="T625" i="1"/>
  <c r="U625" i="1"/>
  <c r="AC625" i="1"/>
  <c r="AD625" i="1"/>
  <c r="AH625" i="1"/>
  <c r="C626" i="1"/>
  <c r="R626" i="1"/>
  <c r="S626" i="1"/>
  <c r="T626" i="1"/>
  <c r="U626" i="1"/>
  <c r="AC626" i="1"/>
  <c r="AD626" i="1"/>
  <c r="AH626" i="1"/>
  <c r="C627" i="1"/>
  <c r="R627" i="1"/>
  <c r="S627" i="1"/>
  <c r="T627" i="1"/>
  <c r="U627" i="1"/>
  <c r="AC627" i="1"/>
  <c r="AD627" i="1"/>
  <c r="AH627" i="1"/>
  <c r="C628" i="1"/>
  <c r="R628" i="1"/>
  <c r="S628" i="1"/>
  <c r="T628" i="1"/>
  <c r="U628" i="1"/>
  <c r="AC628" i="1"/>
  <c r="AD628" i="1"/>
  <c r="AH628" i="1"/>
  <c r="C629" i="1"/>
  <c r="R629" i="1"/>
  <c r="S629" i="1"/>
  <c r="T629" i="1"/>
  <c r="U629" i="1"/>
  <c r="AC629" i="1"/>
  <c r="AD629" i="1"/>
  <c r="AH629" i="1"/>
  <c r="C630" i="1"/>
  <c r="R630" i="1"/>
  <c r="S630" i="1"/>
  <c r="T630" i="1"/>
  <c r="U630" i="1"/>
  <c r="AC630" i="1"/>
  <c r="AD630" i="1"/>
  <c r="AH630" i="1"/>
  <c r="C631" i="1"/>
  <c r="R631" i="1"/>
  <c r="S631" i="1"/>
  <c r="T631" i="1"/>
  <c r="U631" i="1"/>
  <c r="AC631" i="1"/>
  <c r="AD631" i="1"/>
  <c r="AH631" i="1"/>
  <c r="C632" i="1"/>
  <c r="R632" i="1"/>
  <c r="S632" i="1"/>
  <c r="T632" i="1"/>
  <c r="U632" i="1"/>
  <c r="AC632" i="1"/>
  <c r="AD632" i="1"/>
  <c r="AH632" i="1"/>
  <c r="C633" i="1"/>
  <c r="R633" i="1"/>
  <c r="S633" i="1"/>
  <c r="T633" i="1"/>
  <c r="U633" i="1"/>
  <c r="AC633" i="1"/>
  <c r="AD633" i="1"/>
  <c r="AH633" i="1"/>
  <c r="C634" i="1"/>
  <c r="R634" i="1"/>
  <c r="S634" i="1"/>
  <c r="T634" i="1"/>
  <c r="U634" i="1"/>
  <c r="AC634" i="1"/>
  <c r="AD634" i="1"/>
  <c r="AH634" i="1"/>
  <c r="C635" i="1"/>
  <c r="R635" i="1"/>
  <c r="S635" i="1"/>
  <c r="T635" i="1"/>
  <c r="U635" i="1"/>
  <c r="AC635" i="1"/>
  <c r="AD635" i="1"/>
  <c r="C636" i="1"/>
  <c r="R636" i="1"/>
  <c r="S636" i="1"/>
  <c r="T636" i="1"/>
  <c r="U636" i="1"/>
  <c r="AC636" i="1"/>
  <c r="AD636" i="1"/>
  <c r="AH636" i="1"/>
  <c r="C637" i="1"/>
  <c r="R637" i="1"/>
  <c r="S637" i="1"/>
  <c r="T637" i="1"/>
  <c r="U637" i="1"/>
  <c r="AC637" i="1"/>
  <c r="AD637" i="1"/>
  <c r="C638" i="1"/>
  <c r="R638" i="1"/>
  <c r="S638" i="1"/>
  <c r="T638" i="1"/>
  <c r="U638" i="1"/>
  <c r="AC638" i="1"/>
  <c r="AD638" i="1"/>
  <c r="C639" i="1"/>
  <c r="R639" i="1"/>
  <c r="S639" i="1"/>
  <c r="T639" i="1"/>
  <c r="U639" i="1"/>
  <c r="AC639" i="1"/>
  <c r="AD639" i="1"/>
  <c r="C640" i="1"/>
  <c r="R640" i="1"/>
  <c r="S640" i="1"/>
  <c r="T640" i="1"/>
  <c r="U640" i="1"/>
  <c r="AC640" i="1"/>
  <c r="AD640" i="1"/>
  <c r="AH640" i="1"/>
  <c r="C641" i="1"/>
  <c r="R641" i="1"/>
  <c r="S641" i="1"/>
  <c r="T641" i="1"/>
  <c r="U641" i="1"/>
  <c r="AC641" i="1"/>
  <c r="AD641" i="1"/>
  <c r="AE641" i="1"/>
  <c r="AF641" i="1"/>
  <c r="DC641" i="1"/>
  <c r="DD641" i="1"/>
  <c r="C642" i="1"/>
  <c r="R642" i="1"/>
  <c r="S642" i="1"/>
  <c r="T642" i="1"/>
  <c r="U642" i="1"/>
  <c r="AC642" i="1"/>
  <c r="AD642" i="1"/>
  <c r="AE642" i="1"/>
  <c r="AF642" i="1"/>
  <c r="C643" i="1"/>
  <c r="R643" i="1"/>
  <c r="S643" i="1"/>
  <c r="T643" i="1"/>
  <c r="U643" i="1"/>
  <c r="AC643" i="1"/>
  <c r="AD643" i="1"/>
  <c r="C644" i="1"/>
  <c r="R644" i="1"/>
  <c r="S644" i="1"/>
  <c r="T644" i="1"/>
  <c r="U644" i="1"/>
  <c r="AC644" i="1"/>
  <c r="AD644" i="1"/>
  <c r="AE644" i="1"/>
  <c r="AF644" i="1"/>
  <c r="C645" i="1"/>
  <c r="R645" i="1"/>
  <c r="S645" i="1"/>
  <c r="T645" i="1"/>
  <c r="U645" i="1"/>
  <c r="AC645" i="1"/>
  <c r="AD645" i="1"/>
  <c r="C646" i="1"/>
  <c r="R646" i="1"/>
  <c r="S646" i="1"/>
  <c r="T646" i="1"/>
  <c r="U646" i="1"/>
  <c r="AC646" i="1"/>
  <c r="AD646" i="1"/>
  <c r="AE646" i="1"/>
  <c r="AF646" i="1"/>
  <c r="CZ646" i="1"/>
  <c r="C647" i="1"/>
  <c r="R647" i="1"/>
  <c r="S647" i="1"/>
  <c r="T647" i="1"/>
  <c r="U647" i="1"/>
  <c r="AC647" i="1"/>
  <c r="AD647" i="1"/>
  <c r="C648" i="1"/>
  <c r="R648" i="1"/>
  <c r="S648" i="1"/>
  <c r="T648" i="1"/>
  <c r="U648" i="1"/>
  <c r="AC648" i="1"/>
  <c r="AD648" i="1"/>
  <c r="C649" i="1"/>
  <c r="R649" i="1"/>
  <c r="S649" i="1"/>
  <c r="T649" i="1"/>
  <c r="U649" i="1"/>
  <c r="AC649" i="1"/>
  <c r="AD649" i="1"/>
  <c r="C650" i="1"/>
  <c r="R650" i="1"/>
  <c r="S650" i="1"/>
  <c r="T650" i="1"/>
  <c r="U650" i="1"/>
  <c r="AC650" i="1"/>
  <c r="AD650" i="1"/>
  <c r="AE650" i="1"/>
  <c r="AF650" i="1"/>
  <c r="AH650" i="1"/>
  <c r="C651" i="1"/>
  <c r="R651" i="1"/>
  <c r="S651" i="1"/>
  <c r="T651" i="1"/>
  <c r="U651" i="1"/>
  <c r="AC651" i="1"/>
  <c r="AD651" i="1"/>
  <c r="C652" i="1"/>
  <c r="R652" i="1"/>
  <c r="S652" i="1"/>
  <c r="T652" i="1"/>
  <c r="U652" i="1"/>
  <c r="AC652" i="1"/>
  <c r="AD652" i="1"/>
  <c r="AH652" i="1"/>
  <c r="C653" i="1"/>
  <c r="R653" i="1"/>
  <c r="S653" i="1"/>
  <c r="T653" i="1"/>
  <c r="U653" i="1"/>
  <c r="AC653" i="1"/>
  <c r="AD653" i="1"/>
  <c r="C654" i="1"/>
  <c r="R654" i="1"/>
  <c r="S654" i="1"/>
  <c r="T654" i="1"/>
  <c r="U654" i="1"/>
  <c r="AC654" i="1"/>
  <c r="AD654" i="1"/>
  <c r="AE654" i="1"/>
  <c r="AF654" i="1"/>
  <c r="C655" i="1"/>
  <c r="R655" i="1"/>
  <c r="S655" i="1"/>
  <c r="T655" i="1"/>
  <c r="U655" i="1"/>
  <c r="AC655" i="1"/>
  <c r="AD655" i="1"/>
  <c r="AE655" i="1"/>
  <c r="AF655" i="1"/>
  <c r="AH655" i="1"/>
  <c r="C656" i="1"/>
  <c r="R656" i="1"/>
  <c r="S656" i="1"/>
  <c r="T656" i="1"/>
  <c r="U656" i="1"/>
  <c r="AC656" i="1"/>
  <c r="AD656" i="1"/>
  <c r="AE656" i="1"/>
  <c r="AF656" i="1"/>
  <c r="DC656" i="1"/>
  <c r="DD656" i="1"/>
  <c r="C657" i="1"/>
  <c r="R657" i="1"/>
  <c r="S657" i="1"/>
  <c r="T657" i="1"/>
  <c r="U657" i="1"/>
  <c r="AC657" i="1"/>
  <c r="AD657" i="1"/>
  <c r="AE657" i="1"/>
  <c r="AF657" i="1"/>
  <c r="C658" i="1"/>
  <c r="R658" i="1"/>
  <c r="S658" i="1"/>
  <c r="T658" i="1"/>
  <c r="U658" i="1"/>
  <c r="AC658" i="1"/>
  <c r="AD658" i="1"/>
  <c r="C659" i="1"/>
  <c r="R659" i="1"/>
  <c r="S659" i="1"/>
  <c r="T659" i="1"/>
  <c r="U659" i="1"/>
  <c r="AC659" i="1"/>
  <c r="AD659" i="1"/>
  <c r="C660" i="1"/>
  <c r="R660" i="1"/>
  <c r="S660" i="1"/>
  <c r="T660" i="1"/>
  <c r="U660" i="1"/>
  <c r="AC660" i="1"/>
  <c r="AD660" i="1"/>
  <c r="C661" i="1"/>
  <c r="R661" i="1"/>
  <c r="S661" i="1"/>
  <c r="T661" i="1"/>
  <c r="U661" i="1"/>
  <c r="AC661" i="1"/>
  <c r="AD661" i="1"/>
  <c r="AH661" i="1"/>
  <c r="C662" i="1"/>
  <c r="R662" i="1"/>
  <c r="S662" i="1"/>
  <c r="T662" i="1"/>
  <c r="U662" i="1"/>
  <c r="AC662" i="1"/>
  <c r="AD662" i="1"/>
  <c r="C663" i="1"/>
  <c r="R663" i="1"/>
  <c r="S663" i="1"/>
  <c r="T663" i="1"/>
  <c r="U663" i="1"/>
  <c r="AC663" i="1"/>
  <c r="AD663" i="1"/>
  <c r="AH663" i="1"/>
  <c r="C664" i="1"/>
  <c r="R664" i="1"/>
  <c r="S664" i="1"/>
  <c r="T664" i="1"/>
  <c r="U664" i="1"/>
  <c r="AC664" i="1"/>
  <c r="AD664" i="1"/>
  <c r="C665" i="1"/>
  <c r="R665" i="1"/>
  <c r="S665" i="1"/>
  <c r="T665" i="1"/>
  <c r="U665" i="1"/>
  <c r="AC665" i="1"/>
  <c r="AD665" i="1"/>
  <c r="AE665" i="1"/>
  <c r="AF665" i="1"/>
  <c r="DC665" i="1"/>
  <c r="DD665" i="1"/>
  <c r="C666" i="1"/>
  <c r="R666" i="1"/>
  <c r="S666" i="1"/>
  <c r="T666" i="1"/>
  <c r="U666" i="1"/>
  <c r="AC666" i="1"/>
  <c r="AD666" i="1"/>
  <c r="C667" i="1"/>
  <c r="R667" i="1"/>
  <c r="S667" i="1"/>
  <c r="T667" i="1"/>
  <c r="U667" i="1"/>
  <c r="AC667" i="1"/>
  <c r="AD667" i="1"/>
  <c r="C668" i="1"/>
  <c r="R668" i="1"/>
  <c r="S668" i="1"/>
  <c r="T668" i="1"/>
  <c r="U668" i="1"/>
  <c r="AC668" i="1"/>
  <c r="AD668" i="1"/>
  <c r="C669" i="1"/>
  <c r="R669" i="1"/>
  <c r="S669" i="1"/>
  <c r="T669" i="1"/>
  <c r="U669" i="1"/>
  <c r="AC669" i="1"/>
  <c r="AD669" i="1"/>
  <c r="C670" i="1"/>
  <c r="R670" i="1"/>
  <c r="S670" i="1"/>
  <c r="T670" i="1"/>
  <c r="U670" i="1"/>
  <c r="AC670" i="1"/>
  <c r="AD670" i="1"/>
  <c r="AE670" i="1"/>
  <c r="AF670" i="1"/>
  <c r="C671" i="1"/>
  <c r="R671" i="1"/>
  <c r="S671" i="1"/>
  <c r="T671" i="1"/>
  <c r="U671" i="1"/>
  <c r="AC671" i="1"/>
  <c r="AD671" i="1"/>
  <c r="AE671" i="1"/>
  <c r="AF671" i="1"/>
  <c r="C672" i="1"/>
  <c r="R672" i="1"/>
  <c r="S672" i="1"/>
  <c r="T672" i="1"/>
  <c r="U672" i="1"/>
  <c r="AC672" i="1"/>
  <c r="AD672" i="1"/>
  <c r="AE672" i="1"/>
  <c r="AF672" i="1"/>
  <c r="C673" i="1"/>
  <c r="R673" i="1"/>
  <c r="S673" i="1"/>
  <c r="T673" i="1"/>
  <c r="U673" i="1"/>
  <c r="AC673" i="1"/>
  <c r="AD673" i="1"/>
  <c r="C674" i="1"/>
  <c r="R674" i="1"/>
  <c r="S674" i="1"/>
  <c r="T674" i="1"/>
  <c r="U674" i="1"/>
  <c r="AC674" i="1"/>
  <c r="AD674" i="1"/>
  <c r="AE674" i="1"/>
  <c r="AF674" i="1"/>
  <c r="C675" i="1"/>
  <c r="R675" i="1"/>
  <c r="S675" i="1"/>
  <c r="T675" i="1"/>
  <c r="U675" i="1"/>
  <c r="AC675" i="1"/>
  <c r="AD675" i="1"/>
  <c r="AE675" i="1"/>
  <c r="AF675" i="1"/>
  <c r="C676" i="1"/>
  <c r="R676" i="1"/>
  <c r="S676" i="1"/>
  <c r="T676" i="1"/>
  <c r="U676" i="1"/>
  <c r="AC676" i="1"/>
  <c r="AD676" i="1"/>
  <c r="AE676" i="1"/>
  <c r="AF676" i="1"/>
  <c r="C677" i="1"/>
  <c r="R677" i="1"/>
  <c r="S677" i="1"/>
  <c r="T677" i="1"/>
  <c r="U677" i="1"/>
  <c r="AC677" i="1"/>
  <c r="AD677" i="1"/>
  <c r="AE677" i="1"/>
  <c r="AF677" i="1"/>
  <c r="C678" i="1"/>
  <c r="R678" i="1"/>
  <c r="S678" i="1"/>
  <c r="T678" i="1"/>
  <c r="U678" i="1"/>
  <c r="AC678" i="1"/>
  <c r="AD678" i="1"/>
  <c r="AH678" i="1"/>
  <c r="C679" i="1"/>
  <c r="R679" i="1"/>
  <c r="S679" i="1"/>
  <c r="T679" i="1"/>
  <c r="U679" i="1"/>
  <c r="AC679" i="1"/>
  <c r="AD679" i="1"/>
  <c r="AH679" i="1"/>
  <c r="C680" i="1"/>
  <c r="R680" i="1"/>
  <c r="S680" i="1"/>
  <c r="T680" i="1"/>
  <c r="U680" i="1"/>
  <c r="AC680" i="1"/>
  <c r="AD680" i="1"/>
  <c r="AH680" i="1"/>
  <c r="C681" i="1"/>
  <c r="R681" i="1"/>
  <c r="S681" i="1"/>
  <c r="T681" i="1"/>
  <c r="U681" i="1"/>
  <c r="AC681" i="1"/>
  <c r="AD681" i="1"/>
  <c r="AH681" i="1"/>
  <c r="C682" i="1"/>
  <c r="R682" i="1"/>
  <c r="S682" i="1"/>
  <c r="T682" i="1"/>
  <c r="U682" i="1"/>
  <c r="AC682" i="1"/>
  <c r="AD682" i="1"/>
  <c r="AH682" i="1"/>
  <c r="C683" i="1"/>
  <c r="R683" i="1"/>
  <c r="S683" i="1"/>
  <c r="T683" i="1"/>
  <c r="U683" i="1"/>
  <c r="AC683" i="1"/>
  <c r="AD683" i="1"/>
  <c r="AH683" i="1"/>
  <c r="C684" i="1"/>
  <c r="R684" i="1"/>
  <c r="S684" i="1"/>
  <c r="T684" i="1"/>
  <c r="U684" i="1"/>
  <c r="AC684" i="1"/>
  <c r="AD684" i="1"/>
  <c r="AH684" i="1"/>
  <c r="C685" i="1"/>
  <c r="R685" i="1"/>
  <c r="S685" i="1"/>
  <c r="T685" i="1"/>
  <c r="U685" i="1"/>
  <c r="AC685" i="1"/>
  <c r="AD685" i="1"/>
  <c r="AH685" i="1"/>
  <c r="C686" i="1"/>
  <c r="R686" i="1"/>
  <c r="S686" i="1"/>
  <c r="T686" i="1"/>
  <c r="U686" i="1"/>
  <c r="AC686" i="1"/>
  <c r="AD686" i="1"/>
  <c r="AH686" i="1"/>
  <c r="C687" i="1"/>
  <c r="R687" i="1"/>
  <c r="S687" i="1"/>
  <c r="T687" i="1"/>
  <c r="U687" i="1"/>
  <c r="AC687" i="1"/>
  <c r="AD687" i="1"/>
  <c r="AH687" i="1"/>
  <c r="C688" i="1"/>
  <c r="R688" i="1"/>
  <c r="S688" i="1"/>
  <c r="T688" i="1"/>
  <c r="U688" i="1"/>
  <c r="AC688" i="1"/>
  <c r="AD688" i="1"/>
  <c r="AH688" i="1"/>
  <c r="C689" i="1"/>
  <c r="R689" i="1"/>
  <c r="S689" i="1"/>
  <c r="T689" i="1"/>
  <c r="U689" i="1"/>
  <c r="AC689" i="1"/>
  <c r="AD689" i="1"/>
  <c r="AH689" i="1"/>
  <c r="C690" i="1"/>
  <c r="R690" i="1"/>
  <c r="S690" i="1"/>
  <c r="T690" i="1"/>
  <c r="U690" i="1"/>
  <c r="AC690" i="1"/>
  <c r="AD690" i="1"/>
  <c r="AH690" i="1"/>
  <c r="C691" i="1"/>
  <c r="R691" i="1"/>
  <c r="S691" i="1"/>
  <c r="T691" i="1"/>
  <c r="U691" i="1"/>
  <c r="AC691" i="1"/>
  <c r="AD691" i="1"/>
  <c r="AH691" i="1"/>
  <c r="C692" i="1"/>
  <c r="R692" i="1"/>
  <c r="S692" i="1"/>
  <c r="T692" i="1"/>
  <c r="U692" i="1"/>
  <c r="AC692" i="1"/>
  <c r="AD692" i="1"/>
  <c r="AH692" i="1"/>
  <c r="C693" i="1"/>
  <c r="R693" i="1"/>
  <c r="S693" i="1"/>
  <c r="T693" i="1"/>
  <c r="U693" i="1"/>
  <c r="AC693" i="1"/>
  <c r="AD693" i="1"/>
  <c r="AH693" i="1"/>
  <c r="C694" i="1"/>
  <c r="R694" i="1"/>
  <c r="S694" i="1"/>
  <c r="T694" i="1"/>
  <c r="U694" i="1"/>
  <c r="AC694" i="1"/>
  <c r="AD694" i="1"/>
  <c r="AH694" i="1"/>
  <c r="C695" i="1"/>
  <c r="R695" i="1"/>
  <c r="S695" i="1"/>
  <c r="T695" i="1"/>
  <c r="U695" i="1"/>
  <c r="AC695" i="1"/>
  <c r="AD695" i="1"/>
  <c r="AH695" i="1"/>
  <c r="C696" i="1"/>
  <c r="R696" i="1"/>
  <c r="S696" i="1"/>
  <c r="T696" i="1"/>
  <c r="U696" i="1"/>
  <c r="AC696" i="1"/>
  <c r="AD696" i="1"/>
  <c r="AH696" i="1"/>
  <c r="C697" i="1"/>
  <c r="R697" i="1"/>
  <c r="S697" i="1"/>
  <c r="T697" i="1"/>
  <c r="U697" i="1"/>
  <c r="AC697" i="1"/>
  <c r="AD697" i="1"/>
  <c r="AH697" i="1"/>
  <c r="C698" i="1"/>
  <c r="R698" i="1"/>
  <c r="S698" i="1"/>
  <c r="T698" i="1"/>
  <c r="U698" i="1"/>
  <c r="AC698" i="1"/>
  <c r="AD698" i="1"/>
  <c r="AH698" i="1"/>
  <c r="C699" i="1"/>
  <c r="R699" i="1"/>
  <c r="S699" i="1"/>
  <c r="T699" i="1"/>
  <c r="U699" i="1"/>
  <c r="AC699" i="1"/>
  <c r="AD699" i="1"/>
  <c r="AH699" i="1"/>
  <c r="C700" i="1"/>
  <c r="R700" i="1"/>
  <c r="S700" i="1"/>
  <c r="T700" i="1"/>
  <c r="U700" i="1"/>
  <c r="AC700" i="1"/>
  <c r="AD700" i="1"/>
  <c r="AH700" i="1"/>
  <c r="C701" i="1"/>
  <c r="R701" i="1"/>
  <c r="S701" i="1"/>
  <c r="T701" i="1"/>
  <c r="U701" i="1"/>
  <c r="AC701" i="1"/>
  <c r="AD701" i="1"/>
  <c r="AE701" i="1"/>
  <c r="AF701" i="1"/>
  <c r="AH701" i="1"/>
  <c r="C702" i="1"/>
  <c r="R702" i="1"/>
  <c r="S702" i="1"/>
  <c r="T702" i="1"/>
  <c r="U702" i="1"/>
  <c r="AC702" i="1"/>
  <c r="AD702" i="1"/>
  <c r="AH702" i="1"/>
  <c r="C703" i="1"/>
  <c r="R703" i="1"/>
  <c r="S703" i="1"/>
  <c r="T703" i="1"/>
  <c r="U703" i="1"/>
  <c r="AC703" i="1"/>
  <c r="AD703" i="1"/>
  <c r="AE703" i="1"/>
  <c r="AF703" i="1"/>
  <c r="C704" i="1"/>
  <c r="R704" i="1"/>
  <c r="S704" i="1"/>
  <c r="T704" i="1"/>
  <c r="U704" i="1"/>
  <c r="AC704" i="1"/>
  <c r="AD704" i="1"/>
  <c r="C705" i="1"/>
  <c r="R705" i="1"/>
  <c r="S705" i="1"/>
  <c r="T705" i="1"/>
  <c r="U705" i="1"/>
  <c r="AC705" i="1"/>
  <c r="AD705" i="1"/>
  <c r="C706" i="1"/>
  <c r="R706" i="1"/>
  <c r="S706" i="1"/>
  <c r="T706" i="1"/>
  <c r="U706" i="1"/>
  <c r="AC706" i="1"/>
  <c r="AD706" i="1"/>
  <c r="C707" i="1"/>
  <c r="R707" i="1"/>
  <c r="S707" i="1"/>
  <c r="T707" i="1"/>
  <c r="U707" i="1"/>
  <c r="AC707" i="1"/>
  <c r="AD707" i="1"/>
  <c r="C708" i="1"/>
  <c r="R708" i="1"/>
  <c r="S708" i="1"/>
  <c r="T708" i="1"/>
  <c r="U708" i="1"/>
  <c r="AC708" i="1"/>
  <c r="AD708" i="1"/>
  <c r="C709" i="1"/>
  <c r="R709" i="1"/>
  <c r="S709" i="1"/>
  <c r="T709" i="1"/>
  <c r="U709" i="1"/>
  <c r="AC709" i="1"/>
  <c r="AD709" i="1"/>
  <c r="C710" i="1"/>
  <c r="R710" i="1"/>
  <c r="S710" i="1"/>
  <c r="T710" i="1"/>
  <c r="U710" i="1"/>
  <c r="AC710" i="1"/>
  <c r="AD710" i="1"/>
  <c r="AE710" i="1"/>
  <c r="AF710" i="1"/>
  <c r="DC710" i="1"/>
  <c r="DD710" i="1"/>
  <c r="C711" i="1"/>
  <c r="R711" i="1"/>
  <c r="S711" i="1"/>
  <c r="T711" i="1"/>
  <c r="U711" i="1"/>
  <c r="AC711" i="1"/>
  <c r="AD711" i="1"/>
  <c r="C712" i="1"/>
  <c r="R712" i="1"/>
  <c r="S712" i="1"/>
  <c r="T712" i="1"/>
  <c r="U712" i="1"/>
  <c r="AC712" i="1"/>
  <c r="AD712" i="1"/>
  <c r="C713" i="1"/>
  <c r="R713" i="1"/>
  <c r="S713" i="1"/>
  <c r="T713" i="1"/>
  <c r="U713" i="1"/>
  <c r="AC713" i="1"/>
  <c r="AD713" i="1"/>
  <c r="C714" i="1"/>
  <c r="R714" i="1"/>
  <c r="S714" i="1"/>
  <c r="T714" i="1"/>
  <c r="U714" i="1"/>
  <c r="AC714" i="1"/>
  <c r="AD714" i="1"/>
  <c r="C715" i="1"/>
  <c r="R715" i="1"/>
  <c r="S715" i="1"/>
  <c r="T715" i="1"/>
  <c r="U715" i="1"/>
  <c r="AC715" i="1"/>
  <c r="AD715" i="1"/>
  <c r="C716" i="1"/>
  <c r="R716" i="1"/>
  <c r="S716" i="1"/>
  <c r="T716" i="1"/>
  <c r="U716" i="1"/>
  <c r="AC716" i="1"/>
  <c r="AD716" i="1"/>
  <c r="AE716" i="1"/>
  <c r="AF716" i="1"/>
  <c r="DC716" i="1"/>
  <c r="DD716" i="1"/>
  <c r="C717" i="1"/>
  <c r="R717" i="1"/>
  <c r="S717" i="1"/>
  <c r="T717" i="1"/>
  <c r="U717" i="1"/>
  <c r="AC717" i="1"/>
  <c r="AD717" i="1"/>
  <c r="AE717" i="1"/>
  <c r="AF717" i="1"/>
  <c r="DC717" i="1"/>
  <c r="DD717" i="1"/>
  <c r="C718" i="1"/>
  <c r="R718" i="1"/>
  <c r="S718" i="1"/>
  <c r="T718" i="1"/>
  <c r="U718" i="1"/>
  <c r="AC718" i="1"/>
  <c r="AD718" i="1"/>
  <c r="C719" i="1"/>
  <c r="R719" i="1"/>
  <c r="S719" i="1"/>
  <c r="T719" i="1"/>
  <c r="U719" i="1"/>
  <c r="AC719" i="1"/>
  <c r="AD719" i="1"/>
  <c r="C720" i="1"/>
  <c r="R720" i="1"/>
  <c r="S720" i="1"/>
  <c r="T720" i="1"/>
  <c r="U720" i="1"/>
  <c r="AC720" i="1"/>
  <c r="AD720" i="1"/>
  <c r="C721" i="1"/>
  <c r="R721" i="1"/>
  <c r="S721" i="1"/>
  <c r="T721" i="1"/>
  <c r="U721" i="1"/>
  <c r="AC721" i="1"/>
  <c r="AD721" i="1"/>
  <c r="C722" i="1"/>
  <c r="R722" i="1"/>
  <c r="S722" i="1"/>
  <c r="T722" i="1"/>
  <c r="U722" i="1"/>
  <c r="AC722" i="1"/>
  <c r="AD722" i="1"/>
  <c r="C723" i="1"/>
  <c r="R723" i="1"/>
  <c r="S723" i="1"/>
  <c r="T723" i="1"/>
  <c r="U723" i="1"/>
  <c r="AC723" i="1"/>
  <c r="AD723" i="1"/>
  <c r="C724" i="1"/>
  <c r="R724" i="1"/>
  <c r="S724" i="1"/>
  <c r="T724" i="1"/>
  <c r="U724" i="1"/>
  <c r="AC724" i="1"/>
  <c r="AD724" i="1"/>
  <c r="C725" i="1"/>
  <c r="R725" i="1"/>
  <c r="S725" i="1"/>
  <c r="T725" i="1"/>
  <c r="U725" i="1"/>
  <c r="AC725" i="1"/>
  <c r="AD725" i="1"/>
  <c r="C726" i="1"/>
  <c r="R726" i="1"/>
  <c r="S726" i="1"/>
  <c r="T726" i="1"/>
  <c r="U726" i="1"/>
  <c r="AC726" i="1"/>
  <c r="AD726" i="1"/>
  <c r="AE726" i="1"/>
  <c r="AF726" i="1"/>
  <c r="C727" i="1"/>
  <c r="R727" i="1"/>
  <c r="S727" i="1"/>
  <c r="T727" i="1"/>
  <c r="U727" i="1"/>
  <c r="AC727" i="1"/>
  <c r="AD727" i="1"/>
  <c r="C728" i="1"/>
  <c r="R728" i="1"/>
  <c r="S728" i="1"/>
  <c r="T728" i="1"/>
  <c r="U728" i="1"/>
  <c r="AC728" i="1"/>
  <c r="AD728" i="1"/>
  <c r="C729" i="1"/>
  <c r="R729" i="1"/>
  <c r="S729" i="1"/>
  <c r="T729" i="1"/>
  <c r="U729" i="1"/>
  <c r="AC729" i="1"/>
  <c r="AD729" i="1"/>
  <c r="AE729" i="1"/>
  <c r="AF729" i="1"/>
  <c r="C730" i="1"/>
  <c r="R730" i="1"/>
  <c r="S730" i="1"/>
  <c r="T730" i="1"/>
  <c r="U730" i="1"/>
  <c r="AC730" i="1"/>
  <c r="AD730" i="1"/>
  <c r="C731" i="1"/>
  <c r="R731" i="1"/>
  <c r="S731" i="1"/>
  <c r="T731" i="1"/>
  <c r="U731" i="1"/>
  <c r="AC731" i="1"/>
  <c r="AD731" i="1"/>
  <c r="C732" i="1"/>
  <c r="R732" i="1"/>
  <c r="S732" i="1"/>
  <c r="T732" i="1"/>
  <c r="U732" i="1"/>
  <c r="AC732" i="1"/>
  <c r="AD732" i="1"/>
  <c r="C733" i="1"/>
  <c r="R733" i="1"/>
  <c r="S733" i="1"/>
  <c r="T733" i="1"/>
  <c r="U733" i="1"/>
  <c r="AC733" i="1"/>
  <c r="AD733" i="1"/>
  <c r="C734" i="1"/>
  <c r="R734" i="1"/>
  <c r="S734" i="1"/>
  <c r="T734" i="1"/>
  <c r="U734" i="1"/>
  <c r="AC734" i="1"/>
  <c r="AD734" i="1"/>
  <c r="C735" i="1"/>
  <c r="R735" i="1"/>
  <c r="S735" i="1"/>
  <c r="T735" i="1"/>
  <c r="U735" i="1"/>
  <c r="AC735" i="1"/>
  <c r="AD735" i="1"/>
  <c r="C736" i="1"/>
  <c r="R736" i="1"/>
  <c r="S736" i="1"/>
  <c r="T736" i="1"/>
  <c r="U736" i="1"/>
  <c r="AC736" i="1"/>
  <c r="AD736" i="1"/>
  <c r="AE736" i="1"/>
  <c r="AF736" i="1"/>
  <c r="C737" i="1"/>
  <c r="R737" i="1"/>
  <c r="S737" i="1"/>
  <c r="T737" i="1"/>
  <c r="U737" i="1"/>
  <c r="AC737" i="1"/>
  <c r="AD737" i="1"/>
  <c r="C738" i="1"/>
  <c r="R738" i="1"/>
  <c r="S738" i="1"/>
  <c r="T738" i="1"/>
  <c r="U738" i="1"/>
  <c r="AC738" i="1"/>
  <c r="AD738" i="1"/>
  <c r="C739" i="1"/>
  <c r="R739" i="1"/>
  <c r="S739" i="1"/>
  <c r="T739" i="1"/>
  <c r="U739" i="1"/>
  <c r="AC739" i="1"/>
  <c r="AD739" i="1"/>
  <c r="C740" i="1"/>
  <c r="R740" i="1"/>
  <c r="S740" i="1"/>
  <c r="T740" i="1"/>
  <c r="U740" i="1"/>
  <c r="AC740" i="1"/>
  <c r="AD740" i="1"/>
  <c r="C741" i="1"/>
  <c r="R741" i="1"/>
  <c r="S741" i="1"/>
  <c r="T741" i="1"/>
  <c r="U741" i="1"/>
  <c r="AC741" i="1"/>
  <c r="AD741" i="1"/>
  <c r="AE741" i="1"/>
  <c r="AF741" i="1"/>
  <c r="DC741" i="1"/>
  <c r="DD741" i="1"/>
  <c r="C742" i="1"/>
  <c r="R742" i="1"/>
  <c r="S742" i="1"/>
  <c r="T742" i="1"/>
  <c r="U742" i="1"/>
  <c r="AC742" i="1"/>
  <c r="AD742" i="1"/>
  <c r="C743" i="1"/>
  <c r="R743" i="1"/>
  <c r="S743" i="1"/>
  <c r="T743" i="1"/>
  <c r="U743" i="1"/>
  <c r="AC743" i="1"/>
  <c r="AD743" i="1"/>
  <c r="C744" i="1"/>
  <c r="R744" i="1"/>
  <c r="S744" i="1"/>
  <c r="T744" i="1"/>
  <c r="U744" i="1"/>
  <c r="AC744" i="1"/>
  <c r="AD744" i="1"/>
  <c r="C745" i="1"/>
  <c r="R745" i="1"/>
  <c r="S745" i="1"/>
  <c r="T745" i="1"/>
  <c r="U745" i="1"/>
  <c r="AC745" i="1"/>
  <c r="AD745" i="1"/>
  <c r="AE745" i="1"/>
  <c r="AF745" i="1"/>
  <c r="C746" i="1"/>
  <c r="R746" i="1"/>
  <c r="S746" i="1"/>
  <c r="T746" i="1"/>
  <c r="U746" i="1"/>
  <c r="AC746" i="1"/>
  <c r="AD746" i="1"/>
  <c r="C747" i="1"/>
  <c r="R747" i="1"/>
  <c r="S747" i="1"/>
  <c r="T747" i="1"/>
  <c r="U747" i="1"/>
  <c r="AC747" i="1"/>
  <c r="AD747" i="1"/>
  <c r="AE747" i="1"/>
  <c r="AF747" i="1"/>
  <c r="C748" i="1"/>
  <c r="R748" i="1"/>
  <c r="S748" i="1"/>
  <c r="T748" i="1"/>
  <c r="U748" i="1"/>
  <c r="AC748" i="1"/>
  <c r="AD748" i="1"/>
  <c r="AH748" i="1"/>
  <c r="C749" i="1"/>
  <c r="R749" i="1"/>
  <c r="S749" i="1"/>
  <c r="T749" i="1"/>
  <c r="U749" i="1"/>
  <c r="AC749" i="1"/>
  <c r="AD749" i="1"/>
  <c r="AH749" i="1"/>
  <c r="C750" i="1"/>
  <c r="R750" i="1"/>
  <c r="S750" i="1"/>
  <c r="T750" i="1"/>
  <c r="U750" i="1"/>
  <c r="AC750" i="1"/>
  <c r="AD750" i="1"/>
  <c r="C751" i="1"/>
  <c r="R751" i="1"/>
  <c r="S751" i="1"/>
  <c r="T751" i="1"/>
  <c r="U751" i="1"/>
  <c r="AC751" i="1"/>
  <c r="AD751" i="1"/>
  <c r="AH751" i="1"/>
  <c r="C752" i="1"/>
  <c r="R752" i="1"/>
  <c r="S752" i="1"/>
  <c r="T752" i="1"/>
  <c r="U752" i="1"/>
  <c r="AC752" i="1"/>
  <c r="AD752" i="1"/>
  <c r="C753" i="1"/>
  <c r="R753" i="1"/>
  <c r="S753" i="1"/>
  <c r="T753" i="1"/>
  <c r="U753" i="1"/>
  <c r="AC753" i="1"/>
  <c r="AD753" i="1"/>
  <c r="C754" i="1"/>
  <c r="R754" i="1"/>
  <c r="S754" i="1"/>
  <c r="T754" i="1"/>
  <c r="U754" i="1"/>
  <c r="AC754" i="1"/>
  <c r="AD754" i="1"/>
  <c r="AE754" i="1"/>
  <c r="AF754" i="1"/>
  <c r="C755" i="1"/>
  <c r="R755" i="1"/>
  <c r="S755" i="1"/>
  <c r="T755" i="1"/>
  <c r="U755" i="1"/>
  <c r="AC755" i="1"/>
  <c r="AD755" i="1"/>
  <c r="C756" i="1"/>
  <c r="R756" i="1"/>
  <c r="S756" i="1"/>
  <c r="T756" i="1"/>
  <c r="U756" i="1"/>
  <c r="AC756" i="1"/>
  <c r="AD756" i="1"/>
  <c r="AE756" i="1"/>
  <c r="AF756" i="1"/>
  <c r="DC756" i="1"/>
  <c r="DD756" i="1"/>
  <c r="C757" i="1"/>
  <c r="R757" i="1"/>
  <c r="S757" i="1"/>
  <c r="T757" i="1"/>
  <c r="U757" i="1"/>
  <c r="AC757" i="1"/>
  <c r="AD757" i="1"/>
  <c r="C758" i="1"/>
  <c r="R758" i="1"/>
  <c r="S758" i="1"/>
  <c r="T758" i="1"/>
  <c r="U758" i="1"/>
  <c r="AC758" i="1"/>
  <c r="AD758" i="1"/>
  <c r="AE758" i="1"/>
  <c r="AF758" i="1"/>
  <c r="DC758" i="1"/>
  <c r="DD758" i="1"/>
  <c r="C759" i="1"/>
  <c r="R759" i="1"/>
  <c r="S759" i="1"/>
  <c r="T759" i="1"/>
  <c r="U759" i="1"/>
  <c r="AC759" i="1"/>
  <c r="AD759" i="1"/>
  <c r="C760" i="1"/>
  <c r="R760" i="1"/>
  <c r="S760" i="1"/>
  <c r="T760" i="1"/>
  <c r="U760" i="1"/>
  <c r="AC760" i="1"/>
  <c r="AD760" i="1"/>
  <c r="AE760" i="1"/>
  <c r="AF760" i="1"/>
  <c r="DC760" i="1"/>
  <c r="DD760" i="1"/>
  <c r="C761" i="1"/>
  <c r="R761" i="1"/>
  <c r="S761" i="1"/>
  <c r="T761" i="1"/>
  <c r="U761" i="1"/>
  <c r="AC761" i="1"/>
  <c r="AD761" i="1"/>
  <c r="C762" i="1"/>
  <c r="R762" i="1"/>
  <c r="S762" i="1"/>
  <c r="T762" i="1"/>
  <c r="U762" i="1"/>
  <c r="AC762" i="1"/>
  <c r="AD762" i="1"/>
  <c r="AE762" i="1"/>
  <c r="AF762" i="1"/>
  <c r="DC762" i="1"/>
  <c r="DD762" i="1"/>
  <c r="C763" i="1"/>
  <c r="R763" i="1"/>
  <c r="S763" i="1"/>
  <c r="T763" i="1"/>
  <c r="U763" i="1"/>
  <c r="AC763" i="1"/>
  <c r="AD763" i="1"/>
  <c r="AH763" i="1"/>
  <c r="C764" i="1"/>
  <c r="R764" i="1"/>
  <c r="S764" i="1"/>
  <c r="T764" i="1"/>
  <c r="U764" i="1"/>
  <c r="AC764" i="1"/>
  <c r="AD764" i="1"/>
  <c r="C765" i="1"/>
  <c r="R765" i="1"/>
  <c r="S765" i="1"/>
  <c r="T765" i="1"/>
  <c r="U765" i="1"/>
  <c r="AC765" i="1"/>
  <c r="AD765" i="1"/>
  <c r="AE765" i="1"/>
  <c r="AF765" i="1"/>
  <c r="C766" i="1"/>
  <c r="R766" i="1"/>
  <c r="S766" i="1"/>
  <c r="T766" i="1"/>
  <c r="U766" i="1"/>
  <c r="AC766" i="1"/>
  <c r="AD766" i="1"/>
  <c r="AE766" i="1"/>
  <c r="AF766" i="1"/>
  <c r="C767" i="1"/>
  <c r="R767" i="1"/>
  <c r="S767" i="1"/>
  <c r="T767" i="1"/>
  <c r="U767" i="1"/>
  <c r="AC767" i="1"/>
  <c r="AD767" i="1"/>
  <c r="C768" i="1"/>
  <c r="R768" i="1"/>
  <c r="S768" i="1"/>
  <c r="T768" i="1"/>
  <c r="U768" i="1"/>
  <c r="AC768" i="1"/>
  <c r="AD768" i="1"/>
  <c r="AE768" i="1"/>
  <c r="AF768" i="1"/>
  <c r="DC768" i="1"/>
  <c r="DD768" i="1"/>
  <c r="C769" i="1"/>
  <c r="R769" i="1"/>
  <c r="S769" i="1"/>
  <c r="T769" i="1"/>
  <c r="U769" i="1"/>
  <c r="AC769" i="1"/>
  <c r="AD769" i="1"/>
  <c r="C770" i="1"/>
  <c r="R770" i="1"/>
  <c r="S770" i="1"/>
  <c r="T770" i="1"/>
  <c r="U770" i="1"/>
  <c r="AC770" i="1"/>
  <c r="AD770" i="1"/>
  <c r="C771" i="1"/>
  <c r="R771" i="1"/>
  <c r="S771" i="1"/>
  <c r="T771" i="1"/>
  <c r="U771" i="1"/>
  <c r="AC771" i="1"/>
  <c r="AD771" i="1"/>
  <c r="C772" i="1"/>
  <c r="R772" i="1"/>
  <c r="S772" i="1"/>
  <c r="T772" i="1"/>
  <c r="U772" i="1"/>
  <c r="AC772" i="1"/>
  <c r="AD772" i="1"/>
  <c r="C773" i="1"/>
  <c r="R773" i="1"/>
  <c r="S773" i="1"/>
  <c r="T773" i="1"/>
  <c r="U773" i="1"/>
  <c r="AC773" i="1"/>
  <c r="AD773" i="1"/>
  <c r="C774" i="1"/>
  <c r="R774" i="1"/>
  <c r="S774" i="1"/>
  <c r="T774" i="1"/>
  <c r="U774" i="1"/>
  <c r="AC774" i="1"/>
  <c r="AD774" i="1"/>
  <c r="AE774" i="1"/>
  <c r="AF774" i="1"/>
  <c r="DC774" i="1"/>
  <c r="DD774" i="1"/>
  <c r="C775" i="1"/>
  <c r="R775" i="1"/>
  <c r="S775" i="1"/>
  <c r="T775" i="1"/>
  <c r="U775" i="1"/>
  <c r="AC775" i="1"/>
  <c r="AD775" i="1"/>
  <c r="AE775" i="1"/>
  <c r="AF775" i="1"/>
  <c r="C776" i="1"/>
  <c r="R776" i="1"/>
  <c r="S776" i="1"/>
  <c r="T776" i="1"/>
  <c r="U776" i="1"/>
  <c r="AC776" i="1"/>
  <c r="AD776" i="1"/>
  <c r="C777" i="1"/>
  <c r="R777" i="1"/>
  <c r="S777" i="1"/>
  <c r="T777" i="1"/>
  <c r="U777" i="1"/>
  <c r="AC777" i="1"/>
  <c r="AD777" i="1"/>
  <c r="C778" i="1"/>
  <c r="R778" i="1"/>
  <c r="S778" i="1"/>
  <c r="T778" i="1"/>
  <c r="U778" i="1"/>
  <c r="AC778" i="1"/>
  <c r="AD778" i="1"/>
  <c r="C779" i="1"/>
  <c r="R779" i="1"/>
  <c r="S779" i="1"/>
  <c r="T779" i="1"/>
  <c r="U779" i="1"/>
  <c r="AC779" i="1"/>
  <c r="AD779" i="1"/>
  <c r="AE779" i="1"/>
  <c r="AF779" i="1"/>
  <c r="C780" i="1"/>
  <c r="R780" i="1"/>
  <c r="S780" i="1"/>
  <c r="T780" i="1"/>
  <c r="U780" i="1"/>
  <c r="AC780" i="1"/>
  <c r="AD780" i="1"/>
  <c r="AV780" i="1"/>
  <c r="C781" i="1"/>
  <c r="R781" i="1"/>
  <c r="S781" i="1"/>
  <c r="T781" i="1"/>
  <c r="U781" i="1"/>
  <c r="AC781" i="1"/>
  <c r="AD781" i="1"/>
  <c r="C782" i="1"/>
  <c r="R782" i="1"/>
  <c r="S782" i="1"/>
  <c r="T782" i="1"/>
  <c r="U782" i="1"/>
  <c r="AC782" i="1"/>
  <c r="AD782" i="1"/>
  <c r="C783" i="1"/>
  <c r="R783" i="1"/>
  <c r="S783" i="1"/>
  <c r="T783" i="1"/>
  <c r="U783" i="1"/>
  <c r="AC783" i="1"/>
  <c r="AD783" i="1"/>
  <c r="C784" i="1"/>
  <c r="R784" i="1"/>
  <c r="S784" i="1"/>
  <c r="T784" i="1"/>
  <c r="U784" i="1"/>
  <c r="AC784" i="1"/>
  <c r="AD784" i="1"/>
  <c r="AE784" i="1"/>
  <c r="AF784" i="1"/>
  <c r="C785" i="1"/>
  <c r="R785" i="1"/>
  <c r="S785" i="1"/>
  <c r="T785" i="1"/>
  <c r="U785" i="1"/>
  <c r="AC785" i="1"/>
  <c r="AD785" i="1"/>
  <c r="AE785" i="1"/>
  <c r="AF785" i="1"/>
  <c r="DC785" i="1"/>
  <c r="DD785" i="1"/>
  <c r="C786" i="1"/>
  <c r="R786" i="1"/>
  <c r="S786" i="1"/>
  <c r="T786" i="1"/>
  <c r="U786" i="1"/>
  <c r="AC786" i="1"/>
  <c r="AD786" i="1"/>
  <c r="DC786" i="1"/>
  <c r="DD786" i="1"/>
  <c r="C787" i="1"/>
  <c r="R787" i="1"/>
  <c r="S787" i="1"/>
  <c r="T787" i="1"/>
  <c r="U787" i="1"/>
  <c r="AC787" i="1"/>
  <c r="AD787" i="1"/>
  <c r="C788" i="1"/>
  <c r="R788" i="1"/>
  <c r="S788" i="1"/>
  <c r="T788" i="1"/>
  <c r="U788" i="1"/>
  <c r="AC788" i="1"/>
  <c r="AD788" i="1"/>
  <c r="AH788" i="1"/>
  <c r="C789" i="1"/>
  <c r="R789" i="1"/>
  <c r="S789" i="1"/>
  <c r="T789" i="1"/>
  <c r="U789" i="1"/>
  <c r="AC789" i="1"/>
  <c r="AD789" i="1"/>
  <c r="AE789" i="1"/>
  <c r="AF789" i="1"/>
  <c r="C790" i="1"/>
  <c r="R790" i="1"/>
  <c r="S790" i="1"/>
  <c r="T790" i="1"/>
  <c r="U790" i="1"/>
  <c r="AC790" i="1"/>
  <c r="AD790" i="1"/>
  <c r="C791" i="1"/>
  <c r="R791" i="1"/>
  <c r="S791" i="1"/>
  <c r="T791" i="1"/>
  <c r="U791" i="1"/>
  <c r="AC791" i="1"/>
  <c r="AD791" i="1"/>
  <c r="AE791" i="1"/>
  <c r="AF791" i="1"/>
  <c r="AH791" i="1"/>
  <c r="C792" i="1"/>
  <c r="R792" i="1"/>
  <c r="S792" i="1"/>
  <c r="T792" i="1"/>
  <c r="U792" i="1"/>
  <c r="AC792" i="1"/>
  <c r="AD792" i="1"/>
  <c r="C793" i="1"/>
  <c r="R793" i="1"/>
  <c r="S793" i="1"/>
  <c r="T793" i="1"/>
  <c r="U793" i="1"/>
  <c r="AC793" i="1"/>
  <c r="AD793" i="1"/>
  <c r="DC793" i="1"/>
  <c r="DD793" i="1"/>
  <c r="C794" i="1"/>
  <c r="R794" i="1"/>
  <c r="S794" i="1"/>
  <c r="T794" i="1"/>
  <c r="U794" i="1"/>
  <c r="AC794" i="1"/>
  <c r="AD794" i="1"/>
  <c r="AE794" i="1"/>
  <c r="AF794" i="1"/>
  <c r="C795" i="1"/>
  <c r="R795" i="1"/>
  <c r="S795" i="1"/>
  <c r="T795" i="1"/>
  <c r="U795" i="1"/>
  <c r="AC795" i="1"/>
  <c r="AD795" i="1"/>
  <c r="AE795" i="1"/>
  <c r="AF795" i="1"/>
  <c r="C796" i="1"/>
  <c r="R796" i="1"/>
  <c r="S796" i="1"/>
  <c r="T796" i="1"/>
  <c r="U796" i="1"/>
  <c r="AC796" i="1"/>
  <c r="AD796" i="1"/>
  <c r="AH796" i="1"/>
  <c r="C797" i="1"/>
  <c r="R797" i="1"/>
  <c r="S797" i="1"/>
  <c r="T797" i="1"/>
  <c r="U797" i="1"/>
  <c r="AC797" i="1"/>
  <c r="AD797" i="1"/>
  <c r="C798" i="1"/>
  <c r="R798" i="1"/>
  <c r="S798" i="1"/>
  <c r="T798" i="1"/>
  <c r="U798" i="1"/>
  <c r="AC798" i="1"/>
  <c r="AD798" i="1"/>
  <c r="C799" i="1"/>
  <c r="R799" i="1"/>
  <c r="S799" i="1"/>
  <c r="T799" i="1"/>
  <c r="U799" i="1"/>
  <c r="AC799" i="1"/>
  <c r="AD799" i="1"/>
  <c r="AE799" i="1"/>
  <c r="AF799" i="1"/>
  <c r="C800" i="1"/>
  <c r="R800" i="1"/>
  <c r="S800" i="1"/>
  <c r="T800" i="1"/>
  <c r="U800" i="1"/>
  <c r="AC800" i="1"/>
  <c r="AD800" i="1"/>
  <c r="AE800" i="1"/>
  <c r="AF800" i="1"/>
  <c r="AH800" i="1"/>
  <c r="C801" i="1"/>
  <c r="R801" i="1"/>
  <c r="S801" i="1"/>
  <c r="T801" i="1"/>
  <c r="U801" i="1"/>
  <c r="AC801" i="1"/>
  <c r="AD801" i="1"/>
  <c r="AH801" i="1"/>
  <c r="C802" i="1"/>
  <c r="R802" i="1"/>
  <c r="S802" i="1"/>
  <c r="T802" i="1"/>
  <c r="U802" i="1"/>
  <c r="AC802" i="1"/>
  <c r="AD802" i="1"/>
  <c r="AH802" i="1"/>
  <c r="C803" i="1"/>
  <c r="R803" i="1"/>
  <c r="S803" i="1"/>
  <c r="T803" i="1"/>
  <c r="U803" i="1"/>
  <c r="AC803" i="1"/>
  <c r="AD803" i="1"/>
  <c r="AH803" i="1"/>
  <c r="C804" i="1"/>
  <c r="R804" i="1"/>
  <c r="S804" i="1"/>
  <c r="T804" i="1"/>
  <c r="U804" i="1"/>
  <c r="AC804" i="1"/>
  <c r="AD804" i="1"/>
  <c r="AH804" i="1"/>
  <c r="C805" i="1"/>
  <c r="R805" i="1"/>
  <c r="S805" i="1"/>
  <c r="T805" i="1"/>
  <c r="U805" i="1"/>
  <c r="AC805" i="1"/>
  <c r="AD805" i="1"/>
  <c r="AH805" i="1"/>
  <c r="C806" i="1"/>
  <c r="R806" i="1"/>
  <c r="S806" i="1"/>
  <c r="T806" i="1"/>
  <c r="U806" i="1"/>
  <c r="AC806" i="1"/>
  <c r="AD806" i="1"/>
  <c r="AH806" i="1"/>
  <c r="C807" i="1"/>
  <c r="R807" i="1"/>
  <c r="S807" i="1"/>
  <c r="T807" i="1"/>
  <c r="U807" i="1"/>
  <c r="AC807" i="1"/>
  <c r="AD807" i="1"/>
  <c r="AH807" i="1"/>
  <c r="AV807" i="1"/>
  <c r="C808" i="1"/>
  <c r="R808" i="1"/>
  <c r="S808" i="1"/>
  <c r="T808" i="1"/>
  <c r="U808" i="1"/>
  <c r="AC808" i="1"/>
  <c r="AD808" i="1"/>
  <c r="AH808" i="1"/>
  <c r="C809" i="1"/>
  <c r="R809" i="1"/>
  <c r="S809" i="1"/>
  <c r="T809" i="1"/>
  <c r="U809" i="1"/>
  <c r="AC809" i="1"/>
  <c r="AD809" i="1"/>
  <c r="AH809" i="1"/>
  <c r="C810" i="1"/>
  <c r="R810" i="1"/>
  <c r="S810" i="1"/>
  <c r="T810" i="1"/>
  <c r="U810" i="1"/>
  <c r="AC810" i="1"/>
  <c r="AD810" i="1"/>
  <c r="AH810" i="1"/>
  <c r="C811" i="1"/>
  <c r="R811" i="1"/>
  <c r="S811" i="1"/>
  <c r="T811" i="1"/>
  <c r="U811" i="1"/>
  <c r="AC811" i="1"/>
  <c r="AD811" i="1"/>
  <c r="AH811" i="1"/>
  <c r="C812" i="1"/>
  <c r="R812" i="1"/>
  <c r="S812" i="1"/>
  <c r="T812" i="1"/>
  <c r="U812" i="1"/>
  <c r="AC812" i="1"/>
  <c r="AD812" i="1"/>
  <c r="AH812" i="1"/>
  <c r="C813" i="1"/>
  <c r="R813" i="1"/>
  <c r="S813" i="1"/>
  <c r="T813" i="1"/>
  <c r="U813" i="1"/>
  <c r="AC813" i="1"/>
  <c r="AD813" i="1"/>
  <c r="AE813" i="1"/>
  <c r="AF813" i="1"/>
  <c r="AH813" i="1"/>
  <c r="C814" i="1"/>
  <c r="R814" i="1"/>
  <c r="S814" i="1"/>
  <c r="T814" i="1"/>
  <c r="U814" i="1"/>
  <c r="AC814" i="1"/>
  <c r="AD814" i="1"/>
  <c r="AH814" i="1"/>
  <c r="C815" i="1"/>
  <c r="R815" i="1"/>
  <c r="S815" i="1"/>
  <c r="T815" i="1"/>
  <c r="U815" i="1"/>
  <c r="AC815" i="1"/>
  <c r="AD815" i="1"/>
  <c r="AH815" i="1"/>
  <c r="C816" i="1"/>
  <c r="R816" i="1"/>
  <c r="S816" i="1"/>
  <c r="T816" i="1"/>
  <c r="U816" i="1"/>
  <c r="AC816" i="1"/>
  <c r="AD816" i="1"/>
  <c r="AH816" i="1"/>
  <c r="C817" i="1"/>
  <c r="R817" i="1"/>
  <c r="S817" i="1"/>
  <c r="T817" i="1"/>
  <c r="U817" i="1"/>
  <c r="AC817" i="1"/>
  <c r="AD817" i="1"/>
  <c r="AH817" i="1"/>
  <c r="C818" i="1"/>
  <c r="R818" i="1"/>
  <c r="S818" i="1"/>
  <c r="T818" i="1"/>
  <c r="U818" i="1"/>
  <c r="AC818" i="1"/>
  <c r="AD818" i="1"/>
  <c r="C819" i="1"/>
  <c r="R819" i="1"/>
  <c r="S819" i="1"/>
  <c r="T819" i="1"/>
  <c r="U819" i="1"/>
  <c r="AC819" i="1"/>
  <c r="AD819" i="1"/>
  <c r="AE819" i="1"/>
  <c r="AF819" i="1"/>
  <c r="DC819" i="1"/>
  <c r="DD819" i="1"/>
  <c r="C820" i="1"/>
  <c r="R820" i="1"/>
  <c r="S820" i="1"/>
  <c r="T820" i="1"/>
  <c r="U820" i="1"/>
  <c r="AC820" i="1"/>
  <c r="AD820" i="1"/>
  <c r="C821" i="1"/>
  <c r="R821" i="1"/>
  <c r="S821" i="1"/>
  <c r="T821" i="1"/>
  <c r="U821" i="1"/>
  <c r="AC821" i="1"/>
  <c r="AD821" i="1"/>
  <c r="AE821" i="1"/>
  <c r="AF821" i="1"/>
  <c r="DC821" i="1"/>
  <c r="DD821" i="1"/>
  <c r="C822" i="1"/>
  <c r="R822" i="1"/>
  <c r="S822" i="1"/>
  <c r="T822" i="1"/>
  <c r="U822" i="1"/>
  <c r="AC822" i="1"/>
  <c r="AD822" i="1"/>
  <c r="C823" i="1"/>
  <c r="R823" i="1"/>
  <c r="S823" i="1"/>
  <c r="T823" i="1"/>
  <c r="U823" i="1"/>
  <c r="AC823" i="1"/>
  <c r="AD823" i="1"/>
  <c r="C824" i="1"/>
  <c r="R824" i="1"/>
  <c r="S824" i="1"/>
  <c r="T824" i="1"/>
  <c r="U824" i="1"/>
  <c r="AC824" i="1"/>
  <c r="AD824" i="1"/>
  <c r="C825" i="1"/>
  <c r="R825" i="1"/>
  <c r="S825" i="1"/>
  <c r="T825" i="1"/>
  <c r="U825" i="1"/>
  <c r="AC825" i="1"/>
  <c r="AD825" i="1"/>
  <c r="C826" i="1"/>
  <c r="R826" i="1"/>
  <c r="S826" i="1"/>
  <c r="T826" i="1"/>
  <c r="U826" i="1"/>
  <c r="AC826" i="1"/>
  <c r="AD826" i="1"/>
  <c r="C827" i="1"/>
  <c r="R827" i="1"/>
  <c r="S827" i="1"/>
  <c r="T827" i="1"/>
  <c r="U827" i="1"/>
  <c r="AC827" i="1"/>
  <c r="AD827" i="1"/>
  <c r="C828" i="1"/>
  <c r="R828" i="1"/>
  <c r="S828" i="1"/>
  <c r="T828" i="1"/>
  <c r="U828" i="1"/>
  <c r="AC828" i="1"/>
  <c r="AD828" i="1"/>
  <c r="AH828" i="1"/>
  <c r="C829" i="1"/>
  <c r="R829" i="1"/>
  <c r="S829" i="1"/>
  <c r="T829" i="1"/>
  <c r="U829" i="1"/>
  <c r="AC829" i="1"/>
  <c r="AD829" i="1"/>
  <c r="AH829" i="1"/>
  <c r="C830" i="1"/>
  <c r="R830" i="1"/>
  <c r="S830" i="1"/>
  <c r="T830" i="1"/>
  <c r="U830" i="1"/>
  <c r="AC830" i="1"/>
  <c r="AD830" i="1"/>
  <c r="AH830" i="1"/>
  <c r="C831" i="1"/>
  <c r="R831" i="1"/>
  <c r="S831" i="1"/>
  <c r="T831" i="1"/>
  <c r="U831" i="1"/>
  <c r="AC831" i="1"/>
  <c r="AD831" i="1"/>
  <c r="AH831" i="1"/>
  <c r="C832" i="1"/>
  <c r="R832" i="1"/>
  <c r="S832" i="1"/>
  <c r="T832" i="1"/>
  <c r="U832" i="1"/>
  <c r="AC832" i="1"/>
  <c r="AD832" i="1"/>
  <c r="AH832" i="1"/>
  <c r="C833" i="1"/>
  <c r="R833" i="1"/>
  <c r="S833" i="1"/>
  <c r="T833" i="1"/>
  <c r="U833" i="1"/>
  <c r="AC833" i="1"/>
  <c r="AD833" i="1"/>
  <c r="AE833" i="1"/>
  <c r="AF833" i="1"/>
  <c r="AH833" i="1"/>
  <c r="C834" i="1"/>
  <c r="R834" i="1"/>
  <c r="S834" i="1"/>
  <c r="T834" i="1"/>
  <c r="U834" i="1"/>
  <c r="AC834" i="1"/>
  <c r="AD834" i="1"/>
  <c r="C835" i="1"/>
  <c r="R835" i="1"/>
  <c r="S835" i="1"/>
  <c r="T835" i="1"/>
  <c r="U835" i="1"/>
  <c r="AC835" i="1"/>
  <c r="AD835" i="1"/>
  <c r="AH835" i="1"/>
  <c r="C836" i="1"/>
  <c r="R836" i="1"/>
  <c r="S836" i="1"/>
  <c r="T836" i="1"/>
  <c r="U836" i="1"/>
  <c r="AC836" i="1"/>
  <c r="AD836" i="1"/>
  <c r="C837" i="1"/>
  <c r="R837" i="1"/>
  <c r="S837" i="1"/>
  <c r="T837" i="1"/>
  <c r="U837" i="1"/>
  <c r="AC837" i="1"/>
  <c r="AD837" i="1"/>
  <c r="C838" i="1"/>
  <c r="R838" i="1"/>
  <c r="S838" i="1"/>
  <c r="T838" i="1"/>
  <c r="U838" i="1"/>
  <c r="AC838" i="1"/>
  <c r="AD838" i="1"/>
  <c r="C839" i="1"/>
  <c r="R839" i="1"/>
  <c r="S839" i="1"/>
  <c r="T839" i="1"/>
  <c r="U839" i="1"/>
  <c r="AC839" i="1"/>
  <c r="AD839" i="1"/>
  <c r="C840" i="1"/>
  <c r="R840" i="1"/>
  <c r="S840" i="1"/>
  <c r="T840" i="1"/>
  <c r="U840" i="1"/>
  <c r="AC840" i="1"/>
  <c r="AD840" i="1"/>
  <c r="C841" i="1"/>
  <c r="R841" i="1"/>
  <c r="S841" i="1"/>
  <c r="T841" i="1"/>
  <c r="U841" i="1"/>
  <c r="AC841" i="1"/>
  <c r="AD841" i="1"/>
  <c r="C842" i="1"/>
  <c r="R842" i="1"/>
  <c r="S842" i="1"/>
  <c r="T842" i="1"/>
  <c r="U842" i="1"/>
  <c r="AC842" i="1"/>
  <c r="AD842" i="1"/>
  <c r="C843" i="1"/>
  <c r="R843" i="1"/>
  <c r="S843" i="1"/>
  <c r="T843" i="1"/>
  <c r="U843" i="1"/>
  <c r="AC843" i="1"/>
  <c r="AD843" i="1"/>
  <c r="C844" i="1"/>
  <c r="R844" i="1"/>
  <c r="S844" i="1"/>
  <c r="T844" i="1"/>
  <c r="U844" i="1"/>
  <c r="AC844" i="1"/>
  <c r="AD844" i="1"/>
  <c r="C845" i="1"/>
  <c r="R845" i="1"/>
  <c r="S845" i="1"/>
  <c r="T845" i="1"/>
  <c r="U845" i="1"/>
  <c r="AC845" i="1"/>
  <c r="AD845" i="1"/>
  <c r="C846" i="1"/>
  <c r="R846" i="1"/>
  <c r="S846" i="1"/>
  <c r="T846" i="1"/>
  <c r="U846" i="1"/>
  <c r="AC846" i="1"/>
  <c r="AD846" i="1"/>
  <c r="C847" i="1"/>
  <c r="R847" i="1"/>
  <c r="S847" i="1"/>
  <c r="T847" i="1"/>
  <c r="U847" i="1"/>
  <c r="AC847" i="1"/>
  <c r="AD847" i="1"/>
  <c r="C848" i="1"/>
  <c r="R848" i="1"/>
  <c r="S848" i="1"/>
  <c r="T848" i="1"/>
  <c r="U848" i="1"/>
  <c r="AC848" i="1"/>
  <c r="AD848" i="1"/>
  <c r="C849" i="1"/>
  <c r="R849" i="1"/>
  <c r="S849" i="1"/>
  <c r="T849" i="1"/>
  <c r="U849" i="1"/>
  <c r="AC849" i="1"/>
  <c r="AD849" i="1"/>
  <c r="C850" i="1"/>
  <c r="R850" i="1"/>
  <c r="S850" i="1"/>
  <c r="T850" i="1"/>
  <c r="U850" i="1"/>
  <c r="AC850" i="1"/>
  <c r="AD850" i="1"/>
  <c r="C851" i="1"/>
  <c r="R851" i="1"/>
  <c r="S851" i="1"/>
  <c r="T851" i="1"/>
  <c r="U851" i="1"/>
  <c r="AC851" i="1"/>
  <c r="AD851" i="1"/>
  <c r="C852" i="1"/>
  <c r="R852" i="1"/>
  <c r="S852" i="1"/>
  <c r="T852" i="1"/>
  <c r="U852" i="1"/>
  <c r="AC852" i="1"/>
  <c r="AD852" i="1"/>
  <c r="C853" i="1"/>
  <c r="R853" i="1"/>
  <c r="S853" i="1"/>
  <c r="T853" i="1"/>
  <c r="U853" i="1"/>
  <c r="AC853" i="1"/>
  <c r="AD853" i="1"/>
  <c r="C854" i="1"/>
  <c r="R854" i="1"/>
  <c r="S854" i="1"/>
  <c r="T854" i="1"/>
  <c r="U854" i="1"/>
  <c r="AC854" i="1"/>
  <c r="AD854" i="1"/>
  <c r="C855" i="1"/>
  <c r="R855" i="1"/>
  <c r="S855" i="1"/>
  <c r="T855" i="1"/>
  <c r="U855" i="1"/>
  <c r="AC855" i="1"/>
  <c r="AD855" i="1"/>
  <c r="C856" i="1"/>
  <c r="R856" i="1"/>
  <c r="S856" i="1"/>
  <c r="T856" i="1"/>
  <c r="U856" i="1"/>
  <c r="AC856" i="1"/>
  <c r="AD856" i="1"/>
  <c r="AE856" i="1"/>
  <c r="AF856" i="1"/>
  <c r="C857" i="1"/>
  <c r="R857" i="1"/>
  <c r="S857" i="1"/>
  <c r="T857" i="1"/>
  <c r="U857" i="1"/>
  <c r="AC857" i="1"/>
  <c r="AD857" i="1"/>
  <c r="C858" i="1"/>
  <c r="R858" i="1"/>
  <c r="S858" i="1"/>
  <c r="T858" i="1"/>
  <c r="U858" i="1"/>
  <c r="AC858" i="1"/>
  <c r="AD858" i="1"/>
  <c r="AE858" i="1"/>
  <c r="AF858" i="1"/>
  <c r="DC858" i="1"/>
  <c r="DD858" i="1"/>
  <c r="C859" i="1"/>
  <c r="R859" i="1"/>
  <c r="S859" i="1"/>
  <c r="T859" i="1"/>
  <c r="U859" i="1"/>
  <c r="AC859" i="1"/>
  <c r="AD859" i="1"/>
  <c r="DC859" i="1"/>
  <c r="DD859" i="1"/>
  <c r="C860" i="1"/>
  <c r="R860" i="1"/>
  <c r="S860" i="1"/>
  <c r="T860" i="1"/>
  <c r="U860" i="1"/>
  <c r="AC860" i="1"/>
  <c r="AD860" i="1"/>
  <c r="C861" i="1"/>
  <c r="R861" i="1"/>
  <c r="S861" i="1"/>
  <c r="T861" i="1"/>
  <c r="U861" i="1"/>
  <c r="AC861" i="1"/>
  <c r="AD861" i="1"/>
  <c r="C862" i="1"/>
  <c r="R862" i="1"/>
  <c r="S862" i="1"/>
  <c r="T862" i="1"/>
  <c r="U862" i="1"/>
  <c r="AC862" i="1"/>
  <c r="AD862" i="1"/>
  <c r="C863" i="1"/>
  <c r="R863" i="1"/>
  <c r="S863" i="1"/>
  <c r="T863" i="1"/>
  <c r="U863" i="1"/>
  <c r="AC863" i="1"/>
  <c r="AD863" i="1"/>
  <c r="C864" i="1"/>
  <c r="R864" i="1"/>
  <c r="S864" i="1"/>
  <c r="T864" i="1"/>
  <c r="U864" i="1"/>
  <c r="AC864" i="1"/>
  <c r="AD864" i="1"/>
  <c r="AE864" i="1"/>
  <c r="AF864" i="1"/>
  <c r="C865" i="1"/>
  <c r="R865" i="1"/>
  <c r="S865" i="1"/>
  <c r="T865" i="1"/>
  <c r="U865" i="1"/>
  <c r="AC865" i="1"/>
  <c r="AD865" i="1"/>
  <c r="AE865" i="1"/>
  <c r="AF865" i="1"/>
  <c r="DC865" i="1"/>
  <c r="DD865" i="1"/>
  <c r="C866" i="1"/>
  <c r="R866" i="1"/>
  <c r="S866" i="1"/>
  <c r="T866" i="1"/>
  <c r="U866" i="1"/>
  <c r="AC866" i="1"/>
  <c r="AD866" i="1"/>
  <c r="C867" i="1"/>
  <c r="R867" i="1"/>
  <c r="S867" i="1"/>
  <c r="T867" i="1"/>
  <c r="U867" i="1"/>
  <c r="AC867" i="1"/>
  <c r="AD867" i="1"/>
  <c r="C868" i="1"/>
  <c r="R868" i="1"/>
  <c r="S868" i="1"/>
  <c r="T868" i="1"/>
  <c r="U868" i="1"/>
  <c r="AC868" i="1"/>
  <c r="AD868" i="1"/>
  <c r="C869" i="1"/>
  <c r="R869" i="1"/>
  <c r="S869" i="1"/>
  <c r="T869" i="1"/>
  <c r="U869" i="1"/>
  <c r="AC869" i="1"/>
  <c r="AD869" i="1"/>
  <c r="C870" i="1"/>
  <c r="R870" i="1"/>
  <c r="S870" i="1"/>
  <c r="T870" i="1"/>
  <c r="U870" i="1"/>
  <c r="AC870" i="1"/>
  <c r="AD870" i="1"/>
  <c r="C871" i="1"/>
  <c r="R871" i="1"/>
  <c r="S871" i="1"/>
  <c r="T871" i="1"/>
  <c r="U871" i="1"/>
  <c r="AC871" i="1"/>
  <c r="AD871" i="1"/>
  <c r="C872" i="1"/>
  <c r="R872" i="1"/>
  <c r="S872" i="1"/>
  <c r="T872" i="1"/>
  <c r="U872" i="1"/>
  <c r="AC872" i="1"/>
  <c r="AD872" i="1"/>
  <c r="C873" i="1"/>
  <c r="R873" i="1"/>
  <c r="S873" i="1"/>
  <c r="T873" i="1"/>
  <c r="U873" i="1"/>
  <c r="AC873" i="1"/>
  <c r="AD873" i="1"/>
  <c r="C874" i="1"/>
  <c r="R874" i="1"/>
  <c r="S874" i="1"/>
  <c r="T874" i="1"/>
  <c r="U874" i="1"/>
  <c r="AC874" i="1"/>
  <c r="AD874" i="1"/>
  <c r="C875" i="1"/>
  <c r="R875" i="1"/>
  <c r="S875" i="1"/>
  <c r="T875" i="1"/>
  <c r="U875" i="1"/>
  <c r="AC875" i="1"/>
  <c r="AD875" i="1"/>
  <c r="C876" i="1"/>
  <c r="R876" i="1"/>
  <c r="S876" i="1"/>
  <c r="T876" i="1"/>
  <c r="U876" i="1"/>
  <c r="AC876" i="1"/>
  <c r="AD876" i="1"/>
  <c r="C877" i="1"/>
  <c r="R877" i="1"/>
  <c r="S877" i="1"/>
  <c r="T877" i="1"/>
  <c r="U877" i="1"/>
  <c r="AC877" i="1"/>
  <c r="AD877" i="1"/>
  <c r="C878" i="1"/>
  <c r="R878" i="1"/>
  <c r="S878" i="1"/>
  <c r="T878" i="1"/>
  <c r="U878" i="1"/>
  <c r="AC878" i="1"/>
  <c r="AD878" i="1"/>
  <c r="AE878" i="1"/>
  <c r="AF878" i="1"/>
  <c r="C879" i="1"/>
  <c r="R879" i="1"/>
  <c r="S879" i="1"/>
  <c r="T879" i="1"/>
  <c r="U879" i="1"/>
  <c r="AC879" i="1"/>
  <c r="AD879" i="1"/>
  <c r="C880" i="1"/>
  <c r="R880" i="1"/>
  <c r="S880" i="1"/>
  <c r="T880" i="1"/>
  <c r="U880" i="1"/>
  <c r="AC880" i="1"/>
  <c r="AD880" i="1"/>
  <c r="C881" i="1"/>
  <c r="R881" i="1"/>
  <c r="S881" i="1"/>
  <c r="T881" i="1"/>
  <c r="U881" i="1"/>
  <c r="AC881" i="1"/>
  <c r="AD881" i="1"/>
  <c r="AH881" i="1"/>
  <c r="C882" i="1"/>
  <c r="R882" i="1"/>
  <c r="S882" i="1"/>
  <c r="T882" i="1"/>
  <c r="U882" i="1"/>
  <c r="AC882" i="1"/>
  <c r="AD882" i="1"/>
  <c r="C883" i="1"/>
  <c r="R883" i="1"/>
  <c r="S883" i="1"/>
  <c r="T883" i="1"/>
  <c r="U883" i="1"/>
  <c r="AC883" i="1"/>
  <c r="AD883" i="1"/>
  <c r="C884" i="1"/>
  <c r="R884" i="1"/>
  <c r="S884" i="1"/>
  <c r="T884" i="1"/>
  <c r="U884" i="1"/>
  <c r="AC884" i="1"/>
  <c r="AD884" i="1"/>
  <c r="AE884" i="1"/>
  <c r="AF884" i="1"/>
  <c r="AH884" i="1"/>
  <c r="C885" i="1"/>
  <c r="R885" i="1"/>
  <c r="S885" i="1"/>
  <c r="T885" i="1"/>
  <c r="U885" i="1"/>
  <c r="AC885" i="1"/>
  <c r="AD885" i="1"/>
  <c r="AE885" i="1"/>
  <c r="AF885" i="1"/>
  <c r="DC885" i="1"/>
  <c r="DD885" i="1"/>
  <c r="C886" i="1"/>
  <c r="R886" i="1"/>
  <c r="S886" i="1"/>
  <c r="T886" i="1"/>
  <c r="U886" i="1"/>
  <c r="AC886" i="1"/>
  <c r="AD886" i="1"/>
  <c r="AE886" i="1"/>
  <c r="AF886" i="1"/>
  <c r="C887" i="1"/>
  <c r="R887" i="1"/>
  <c r="S887" i="1"/>
  <c r="T887" i="1"/>
  <c r="U887" i="1"/>
  <c r="AC887" i="1"/>
  <c r="AD887" i="1"/>
  <c r="C888" i="1"/>
  <c r="R888" i="1"/>
  <c r="S888" i="1"/>
  <c r="T888" i="1"/>
  <c r="U888" i="1"/>
  <c r="AC888" i="1"/>
  <c r="AD888" i="1"/>
  <c r="C889" i="1"/>
  <c r="R889" i="1"/>
  <c r="S889" i="1"/>
  <c r="T889" i="1"/>
  <c r="U889" i="1"/>
  <c r="AC889" i="1"/>
  <c r="AD889" i="1"/>
  <c r="C890" i="1"/>
  <c r="R890" i="1"/>
  <c r="S890" i="1"/>
  <c r="T890" i="1"/>
  <c r="U890" i="1"/>
  <c r="AC890" i="1"/>
  <c r="AD890" i="1"/>
  <c r="C891" i="1"/>
  <c r="R891" i="1"/>
  <c r="S891" i="1"/>
  <c r="T891" i="1"/>
  <c r="U891" i="1"/>
  <c r="AC891" i="1"/>
  <c r="AD891" i="1"/>
  <c r="C892" i="1"/>
  <c r="R892" i="1"/>
  <c r="S892" i="1"/>
  <c r="T892" i="1"/>
  <c r="U892" i="1"/>
  <c r="AC892" i="1"/>
  <c r="AD892" i="1"/>
  <c r="C893" i="1"/>
  <c r="R893" i="1"/>
  <c r="S893" i="1"/>
  <c r="T893" i="1"/>
  <c r="U893" i="1"/>
  <c r="AC893" i="1"/>
  <c r="AD893" i="1"/>
  <c r="DC893" i="1"/>
  <c r="DD893" i="1"/>
  <c r="C894" i="1"/>
  <c r="R894" i="1"/>
  <c r="S894" i="1"/>
  <c r="T894" i="1"/>
  <c r="U894" i="1"/>
  <c r="AC894" i="1"/>
  <c r="AD894" i="1"/>
  <c r="AH894" i="1"/>
  <c r="C895" i="1"/>
  <c r="R895" i="1"/>
  <c r="S895" i="1"/>
  <c r="T895" i="1"/>
  <c r="U895" i="1"/>
  <c r="AC895" i="1"/>
  <c r="AD895" i="1"/>
  <c r="AH895" i="1"/>
  <c r="C896" i="1"/>
  <c r="R896" i="1"/>
  <c r="S896" i="1"/>
  <c r="T896" i="1"/>
  <c r="U896" i="1"/>
  <c r="AC896" i="1"/>
  <c r="AD896" i="1"/>
  <c r="C897" i="1"/>
  <c r="R897" i="1"/>
  <c r="S897" i="1"/>
  <c r="T897" i="1"/>
  <c r="U897" i="1"/>
  <c r="AC897" i="1"/>
  <c r="AD897" i="1"/>
  <c r="C898" i="1"/>
  <c r="R898" i="1"/>
  <c r="S898" i="1"/>
  <c r="T898" i="1"/>
  <c r="U898" i="1"/>
  <c r="AC898" i="1"/>
  <c r="AD898" i="1"/>
  <c r="AE898" i="1"/>
  <c r="AF898" i="1"/>
  <c r="C899" i="1"/>
  <c r="R899" i="1"/>
  <c r="S899" i="1"/>
  <c r="T899" i="1"/>
  <c r="U899" i="1"/>
  <c r="AC899" i="1"/>
  <c r="AD899" i="1"/>
  <c r="AE899" i="1"/>
  <c r="AF899" i="1"/>
  <c r="AH899" i="1"/>
  <c r="C900" i="1"/>
  <c r="R900" i="1"/>
  <c r="S900" i="1"/>
  <c r="T900" i="1"/>
  <c r="U900" i="1"/>
  <c r="AC900" i="1"/>
  <c r="AD900" i="1"/>
  <c r="AE900" i="1"/>
  <c r="AF900" i="1"/>
  <c r="C901" i="1"/>
  <c r="R901" i="1"/>
  <c r="S901" i="1"/>
  <c r="T901" i="1"/>
  <c r="U901" i="1"/>
  <c r="AC901" i="1"/>
  <c r="AD901" i="1"/>
  <c r="AE901" i="1"/>
  <c r="AF901" i="1"/>
  <c r="C902" i="1"/>
  <c r="R902" i="1"/>
  <c r="S902" i="1"/>
  <c r="T902" i="1"/>
  <c r="U902" i="1"/>
  <c r="AC902" i="1"/>
  <c r="AD902" i="1"/>
  <c r="AE902" i="1"/>
  <c r="AF902" i="1"/>
  <c r="AH902" i="1"/>
</calcChain>
</file>

<file path=xl/sharedStrings.xml><?xml version="1.0" encoding="utf-8"?>
<sst xmlns="http://schemas.openxmlformats.org/spreadsheetml/2006/main" count="46201" uniqueCount="2162">
  <si>
    <t>EI Контингента</t>
  </si>
  <si>
    <t>ID контингента</t>
  </si>
  <si>
    <t>ИИН</t>
  </si>
  <si>
    <t>Фамилия</t>
  </si>
  <si>
    <t>Имя</t>
  </si>
  <si>
    <t>Отчество</t>
  </si>
  <si>
    <t>Дата рождения</t>
  </si>
  <si>
    <t>Причина отсутствия ИИН [7194]</t>
  </si>
  <si>
    <t>Пол [206]</t>
  </si>
  <si>
    <t>Гражданство [6416]</t>
  </si>
  <si>
    <t>Национальность [210]</t>
  </si>
  <si>
    <t>Беженец [6636]</t>
  </si>
  <si>
    <t>Номер документа, удостоверяющего личность [6908]</t>
  </si>
  <si>
    <t>Дата выдачи документа, удостоверяющего личность [6910]</t>
  </si>
  <si>
    <t>Вложение (прикрепите скан копию документа, удостоверяющего личность: 1-я скан копия, страница с паспорта, где ФИО) [7276]</t>
  </si>
  <si>
    <t>Вложение (прикрепите скан копию документа, удостоверяющего личность: 2-я скан копия, страница с печатью пограничной службы) [7277]</t>
  </si>
  <si>
    <t>Кандас [6194]</t>
  </si>
  <si>
    <t>Адрес постоянной регистрации на русском [6997]</t>
  </si>
  <si>
    <t>Адрес постоянной регистрации на казахском [6998]</t>
  </si>
  <si>
    <t>Адрес временной регистрации на русском [6999]</t>
  </si>
  <si>
    <t>Адрес временной регистрации на казахском [7000]</t>
  </si>
  <si>
    <t>Законный представитель учащегося [7021]</t>
  </si>
  <si>
    <t>Работает [7009]</t>
  </si>
  <si>
    <t>Должность законного представителя [7010]</t>
  </si>
  <si>
    <t>Место работы законного представителя [7011]</t>
  </si>
  <si>
    <t>Заявление на принятие в ОО [application_work_eo]</t>
  </si>
  <si>
    <t>№ личного дела учащегося [7014]</t>
  </si>
  <si>
    <t>Дата создания личного дела [7015]</t>
  </si>
  <si>
    <t>Дата прибытия/зачисления [267]</t>
  </si>
  <si>
    <t>Номер приказа прибытия/зачисления [5672]</t>
  </si>
  <si>
    <t>Дата начала учебного года [start_school_year]</t>
  </si>
  <si>
    <t>Дата окончания учебного года [end_school_year]</t>
  </si>
  <si>
    <t>Прибыл(-а) [266]</t>
  </si>
  <si>
    <t>Электронный адрес (Е-mail) [6915]</t>
  </si>
  <si>
    <t>Посещал дошкольные организации [5682]</t>
  </si>
  <si>
    <t>Параллель [207]</t>
  </si>
  <si>
    <t>Литера [6668]</t>
  </si>
  <si>
    <t>Класс-комплект [423]</t>
  </si>
  <si>
    <t>Учится в группе продленного дня [254]</t>
  </si>
  <si>
    <t>Язык обучения [209]</t>
  </si>
  <si>
    <t>Смена обучения [208]</t>
  </si>
  <si>
    <t>Форма обучения [5568]</t>
  </si>
  <si>
    <t>Учится в классе с вечерней формой обучения [263]</t>
  </si>
  <si>
    <t>Наличие компьютерных/иных устройств дома [7214]</t>
  </si>
  <si>
    <t>Инвентарный номер [7239]</t>
  </si>
  <si>
    <t>Источник приобретения [7240]</t>
  </si>
  <si>
    <t>Год приобретения [7241]</t>
  </si>
  <si>
    <t>Дата изменения Наличия комп.устройств(обеспечен организацией) [7280]</t>
  </si>
  <si>
    <t>Наличие доступа к Интернету дома [7213]</t>
  </si>
  <si>
    <t>Обеспечен [7245]</t>
  </si>
  <si>
    <t>Серийный номер модема/роутера [7246]</t>
  </si>
  <si>
    <t>Ребенок , обучающийся на дому [5776]</t>
  </si>
  <si>
    <t>Дата заключения ВКК (Врачебно-консультативная комиссия ) [founding_date_wcc]</t>
  </si>
  <si>
    <t>Номер заключения ВКК (Врачебно-консультативная комиссия ) [conclusion_number_wcc]</t>
  </si>
  <si>
    <t>№ приказа обучения на дому [NumberOrderSchool]</t>
  </si>
  <si>
    <t>Дата [DateOrderSchool]</t>
  </si>
  <si>
    <t>Диагноз [6982]</t>
  </si>
  <si>
    <t>Программа обучения [6983]</t>
  </si>
  <si>
    <t>Период индивидуального обучения [6984] / Период с [76518]</t>
  </si>
  <si>
    <t>Период индивидуального обучения [6984] / Период по [76519]</t>
  </si>
  <si>
    <t>Ребенок, обучающийся дистанционно [5777]</t>
  </si>
  <si>
    <t>Сведения о подвозе [7049]</t>
  </si>
  <si>
    <t>Обеспечен комплектом учебников [7022]</t>
  </si>
  <si>
    <t>Охват горячим питанием [6641]</t>
  </si>
  <si>
    <t>Охват буфетным питанием [6642]</t>
  </si>
  <si>
    <t>Уровень успеваемости (годовая оценка) [247]</t>
  </si>
  <si>
    <t>Оставлен на повторный курс [5670]</t>
  </si>
  <si>
    <t>Освоение программы по дисциплинам естественно-математического цикла (годовые оценки) [5778] / Дисциплины [74990]</t>
  </si>
  <si>
    <t>Освоение программы по дисциплинам естественно-математического цикла (годовые оценки) [5778] / Оценка [74991]</t>
  </si>
  <si>
    <t>В классе углубленного изучения предметов [214]</t>
  </si>
  <si>
    <t>Изучаемый иностранный язык 1 [7019]</t>
  </si>
  <si>
    <t>Изучаемый иностранный язык 2 [7020]</t>
  </si>
  <si>
    <t>Изучает английский язык с первого класса [6337]</t>
  </si>
  <si>
    <t>Изучение предметов на иностранном языке [5596] / Язык обучения [74997]</t>
  </si>
  <si>
    <t>Изучение предметов на иностранном языке [5596] / Предметы [75072]</t>
  </si>
  <si>
    <t>Родной язык как самостоятельный предмет [255]</t>
  </si>
  <si>
    <t>Родные языки изучает факультативно или в кружках [270]</t>
  </si>
  <si>
    <t>Техника чтения в минуту [6758]</t>
  </si>
  <si>
    <t>Посещает кружки и секции в данной организации [7271] / Наименование кружков/секций [72711]</t>
  </si>
  <si>
    <t>Посещает кружки и секции в данной организации [7271] / Способ оплаты [72712]</t>
  </si>
  <si>
    <t>Посещает организации дополнительного образования для детей (внешкольные организации) [7270] / Наименование кружков/секций [72701]</t>
  </si>
  <si>
    <t>Посещает организации дополнительного образования для детей (внешкольные организации) [7270] / Способ оплаты [72702]</t>
  </si>
  <si>
    <t>Участие в соревнованиях, конкурсах и олимпиадах [6759] / Вид мероприятия [76308]</t>
  </si>
  <si>
    <t>Участие в соревнованиях, конкурсах и олимпиадах [6759] / Вид направления [76309]</t>
  </si>
  <si>
    <t>Участие в соревнованиях, конкурсах и олимпиадах [6759] / Уровень мероприятия [76310]</t>
  </si>
  <si>
    <t>Участие в соревнованиях, конкурсах и олимпиадах [6759] / Награда [76312]</t>
  </si>
  <si>
    <t>Участие в соревнованиях, конкурсах и олимпиадах [6759] / Дата участия [76663]</t>
  </si>
  <si>
    <t>Охвачен летним отдыхом [6957]</t>
  </si>
  <si>
    <t>Сведения о летнем отдыхе [6958] / Период  [76484]</t>
  </si>
  <si>
    <t>Сведения о летнем отдыхе [6958] / Питание [76485]</t>
  </si>
  <si>
    <t>Сведения о летнем отдыхе [6958] / Место прохождения [76486]</t>
  </si>
  <si>
    <t>Состоит на учете [6959]</t>
  </si>
  <si>
    <t>Состоит на внутришкольном учете [6428]</t>
  </si>
  <si>
    <t>С девиантным поведением [6960]</t>
  </si>
  <si>
    <t>Ребенок - сирота [251]</t>
  </si>
  <si>
    <t>Ребенок, оставшийся без попечения родителей [258]</t>
  </si>
  <si>
    <t>Ребенок из неблагополучной семьи [258_1]</t>
  </si>
  <si>
    <t>Сведения о здоровье [health_info_01] / Дата постановки на учет больного [patient_dt_beg]</t>
  </si>
  <si>
    <t>Сведения о здоровье [health_info_01] / Дата снятия с учета больного [patient_dt_end]</t>
  </si>
  <si>
    <t>Сведения о здоровье [health_info_01] / Вид заболевания [disease]</t>
  </si>
  <si>
    <t>Сведения о здоровье [health_info_01] / Медицинская организация ведущая диспансерное наблюдение [medical_organization]</t>
  </si>
  <si>
    <t>Сведения о здоровье [health_info_01] / Регион регистрации больного [patient_region]</t>
  </si>
  <si>
    <t>Дети с инвалидностью и/или лица с инвалидностью [253]</t>
  </si>
  <si>
    <t>Дата установления инвалидности [7184]</t>
  </si>
  <si>
    <t>Медицинская карта [student_medical_card]</t>
  </si>
  <si>
    <t>Виды нарушений [5783]</t>
  </si>
  <si>
    <t>№ заключения ПМПК (до 18 лет)/ВКК (старше 18 лет) [6980]</t>
  </si>
  <si>
    <t>Дата заключения [6981]</t>
  </si>
  <si>
    <t>Охвачен занятиями физкультуры и спорта в специальных медицинских группах [6424]</t>
  </si>
  <si>
    <t>Посещает логопедический пункт [6314]</t>
  </si>
  <si>
    <t>Обучается  в специальных классах [5799]</t>
  </si>
  <si>
    <t>Получатель адресной социальной помощи [7064]</t>
  </si>
  <si>
    <t>Уровень прожиточного минимума [7285]</t>
  </si>
  <si>
    <t>Относится к категории граждан, которым оказывается финансовая и материальная помощь [6640]</t>
  </si>
  <si>
    <t>Оказана помощь [assistance_provided]</t>
  </si>
  <si>
    <t>За счет средств [at_the_expense_of_funds]</t>
  </si>
  <si>
    <t>Из многодетной семьи [7822]</t>
  </si>
  <si>
    <t>Претендент на награждение знаком «Алтын белгі» [6657]</t>
  </si>
  <si>
    <t>Подтвердил знак «Алтын белгі» [6656]</t>
  </si>
  <si>
    <t>Выпущен [5833]</t>
  </si>
  <si>
    <t>Аттестат о среднем образовании (Серия аттестата)/Аттестат об основном образовании (Серия аттестата) [5723]</t>
  </si>
  <si>
    <t>Аттестат о среднем образовании (Номер аттестата)/Аттестат об основном образовании (Номер аттестата) [5873]</t>
  </si>
  <si>
    <t>Аттестат о среднем образовании (Дата выдачи)/Аттестат об основном образовании (Дата выдачи) [5724]</t>
  </si>
  <si>
    <t>Лист ответов итоговой аттестации обучающихся 11 (12) класса [answer_sheet_final_11]</t>
  </si>
  <si>
    <t>Заявление на единое национальное тестирование [app_ent]</t>
  </si>
  <si>
    <t>Заявление на конкурс по присуждению образовательного гранта [app_grant]</t>
  </si>
  <si>
    <t>Сертификат единого национального тестирования [certificate_ent]</t>
  </si>
  <si>
    <t>Сертификата комплексного тестирования абитуриента [certificate_complex_test]</t>
  </si>
  <si>
    <t>Дата выбытия [269]</t>
  </si>
  <si>
    <t>Номер приказа выбытия [5673]</t>
  </si>
  <si>
    <t>Причина выбытия [268]</t>
  </si>
  <si>
    <t>Трудоустройство [5881]</t>
  </si>
  <si>
    <t>Страна выбытия [6776]</t>
  </si>
  <si>
    <t>Дата трудоустройства [employment_date]</t>
  </si>
  <si>
    <t>Профессия [employment_profession]</t>
  </si>
  <si>
    <t>Общий классификатор видов экономической деятельности [employment_oked]</t>
  </si>
  <si>
    <t>Форма собственности организации трудоустройства [employment_type_of_ownership]</t>
  </si>
  <si>
    <t>Учебный год [ed_year]</t>
  </si>
  <si>
    <t>Индивидуальный код тестирования [test_id]</t>
  </si>
  <si>
    <t>Серия свидетельства [svid_series]</t>
  </si>
  <si>
    <t>Номер свидетельства [svid_number]</t>
  </si>
  <si>
    <t>Дата выдачи свидетельства [svid_date]</t>
  </si>
  <si>
    <t>№ Приказа (грант) [grant_order_number]</t>
  </si>
  <si>
    <t>Дата приказа Приказа (грант) [grant_order_date]</t>
  </si>
  <si>
    <t>Номер и наименование ГОП (грант) [education_program]</t>
  </si>
  <si>
    <t>Наименование ВУЗа (грант) [university_name]</t>
  </si>
  <si>
    <t>Форма обучения (очная/очная сокращенная) [study_form]</t>
  </si>
  <si>
    <t>Квота и вид гранта [gtant_type]</t>
  </si>
  <si>
    <t>Сведения об ЕНТ [entinfo] / Номер сертификата [entinfo_number]</t>
  </si>
  <si>
    <t>Сведения об ЕНТ [entinfo] / Индивидуальный код тестируемого [entinfo_individual_code]</t>
  </si>
  <si>
    <t>Сведения об ЕНТ [entinfo] / Дата тестирования [entinfo_date]</t>
  </si>
  <si>
    <t>Сведения об ЕНТ [entinfo] / Год тестирования [entinfo_year]</t>
  </si>
  <si>
    <t>Сведения об ЕНТ [entinfo] / ЕНТ для участия в гранте/ платной основе [entinfo_period]</t>
  </si>
  <si>
    <t>Сведения об ЕНТ [entinfo] / Тип тестирования (Форма обучения) [entinfo_type]</t>
  </si>
  <si>
    <t>Сведения об ЕНТ [entinfo] / Количество предметов [is_change_cnt_subj]</t>
  </si>
  <si>
    <t>Сведения об ЕНТ [entinfo] / Язык сдачи тестирования [ent_lang]</t>
  </si>
  <si>
    <t>Сведения об ЕНТ [entinfo] / БИН ОО на момент сдачи ЕНТ [school_bin]</t>
  </si>
  <si>
    <t>Сведения об ЕНТ [entinfo] / ИД регионального центра тестирования [test_org_id]</t>
  </si>
  <si>
    <t>Количество набранных баллов по сертификату [score] / Номер сертификата [entinfo_number]</t>
  </si>
  <si>
    <t>Количество набранных баллов по сертификату [score] / Индивидуальный код тестируемого [entinfo_individual_code]</t>
  </si>
  <si>
    <t>Количество набранных баллов по сертификату [score] / Порядковый номер предметов/дисциплин [order]</t>
  </si>
  <si>
    <t>Количество набранных баллов по сертификату [score] / Тип предмета/дисциплины [subject_type]</t>
  </si>
  <si>
    <t>Количество набранных баллов по сертификату [score] / Наименование предмета/дисциплины [subject_id]</t>
  </si>
  <si>
    <t>Количество набранных баллов по сертификату [score] / Балл предмета/дисциплины [total_score]</t>
  </si>
  <si>
    <t>Количество набранных баллов по сертификату [score] / Язык сдачи предмета/дисциплины ЕНТ [lang_id]</t>
  </si>
  <si>
    <t>Количество набранных баллов по сертификату [score] / Дата сдачи ЕНТ [entinfo_date]</t>
  </si>
  <si>
    <t>Был творческий экзамен? [entinfo_creative]</t>
  </si>
  <si>
    <t>Номер и наименование творческого ГОП [edu_program_code]</t>
  </si>
  <si>
    <t>Тип тестирования (Форма обучения) [entinfo_type]</t>
  </si>
  <si>
    <t>Наименование ВУЗа, в котором сдан творческий экзамен [university_bin]</t>
  </si>
  <si>
    <t>Результат творческого экзамена [creative_exam] / Дата тестирования [date_exam]</t>
  </si>
  <si>
    <t>Результат творческого экзамена [creative_exam] / Порядковый номер творческих экзаменов [order]</t>
  </si>
  <si>
    <t>Результат творческого экзамена [creative_exam] / Наименование предмета/дисциплины [subject_id]</t>
  </si>
  <si>
    <t>Результат творческого экзамена [creative_exam] / Балл [ball]</t>
  </si>
  <si>
    <t>Был специальный экзамен? [entinfo_special]</t>
  </si>
  <si>
    <t>Результат специального экзамена [spec_exam] / Дата экзамена [date_exam]</t>
  </si>
  <si>
    <t>Результат специального экзамена [spec_exam] / Область специального экзамена [exam_area]</t>
  </si>
  <si>
    <t>Результат специального экзамена [spec_exam] / Допуск? [exam_result]</t>
  </si>
  <si>
    <t>Было тестирование по английскому языку? [entinfo_english]</t>
  </si>
  <si>
    <t>Результат экзамен по английскому языку [english_exam] / Дата тестирования [date_exam]</t>
  </si>
  <si>
    <t>Результат экзамен по английскому языку [english_exam] / Балл [ball]</t>
  </si>
  <si>
    <t>Дата тестирования ВОУД [voud_date]</t>
  </si>
  <si>
    <t>Результат тестирования ВОУД [voud_score]</t>
  </si>
  <si>
    <t>Наличие заявки с eGOV [7296]</t>
  </si>
  <si>
    <t>Табель [7181] / Дисциплины [71810]</t>
  </si>
  <si>
    <t>Табель [7181] / 1 четверть [71811]</t>
  </si>
  <si>
    <t>Табель [7181] / 2 четверть [71812]</t>
  </si>
  <si>
    <t>Табель [7181] / 1 полугодие [71813]</t>
  </si>
  <si>
    <t>Табель [7181] / 3 четверть [71814]</t>
  </si>
  <si>
    <t>Табель [7181] / 4 четверть [71815]</t>
  </si>
  <si>
    <t>Табель [7181] / 2 полугодие [71816]</t>
  </si>
  <si>
    <t>Табель [7181] / 1ый семестр [71817]</t>
  </si>
  <si>
    <t>Табель [7181] / 2ой семестр [71818]</t>
  </si>
  <si>
    <t>Табель [7181] / Годовая [71819]</t>
  </si>
  <si>
    <t>Табель [7181] / Учебный год [71820]</t>
  </si>
  <si>
    <t>Статус свидетельства грант [certificate_status_id]</t>
  </si>
  <si>
    <t>НУРГАЛИЕВА</t>
  </si>
  <si>
    <t>АМИНА</t>
  </si>
  <si>
    <t>РЕНАТОВНА</t>
  </si>
  <si>
    <t>женский</t>
  </si>
  <si>
    <t>КАЗАХСТАН</t>
  </si>
  <si>
    <t>Казахи</t>
  </si>
  <si>
    <t>данного района (города, села)</t>
  </si>
  <si>
    <t>3 года и больше</t>
  </si>
  <si>
    <t>9 класс</t>
  </si>
  <si>
    <t>Б</t>
  </si>
  <si>
    <t>Да</t>
  </si>
  <si>
    <t>русский</t>
  </si>
  <si>
    <t>очная</t>
  </si>
  <si>
    <t>нет</t>
  </si>
  <si>
    <t>смартфон</t>
  </si>
  <si>
    <t>Личный</t>
  </si>
  <si>
    <t>Нет</t>
  </si>
  <si>
    <t>[самостоятельно добирается в школу]</t>
  </si>
  <si>
    <t>обеспечен данной школой</t>
  </si>
  <si>
    <t>[охвачен(-а) горячим питанием]</t>
  </si>
  <si>
    <t>4 - хорошист</t>
  </si>
  <si>
    <t>Математика, Биология, География, Физика, Химия</t>
  </si>
  <si>
    <t>4, 4, 4, 4, 4</t>
  </si>
  <si>
    <t>английский язык</t>
  </si>
  <si>
    <t>не изучает</t>
  </si>
  <si>
    <t>[]</t>
  </si>
  <si>
    <t>другие спортивные</t>
  </si>
  <si>
    <t>бесплатно</t>
  </si>
  <si>
    <t>другие танцы</t>
  </si>
  <si>
    <t>Олимпиада</t>
  </si>
  <si>
    <t>Предметное</t>
  </si>
  <si>
    <t>Международные</t>
  </si>
  <si>
    <t>Грамота</t>
  </si>
  <si>
    <t>2019-12-05T17:13:00</t>
  </si>
  <si>
    <t>Июнь, Июль, Август</t>
  </si>
  <si>
    <t>с питанием, без питания, без питания</t>
  </si>
  <si>
    <t>пришкольный оздоровительный лагерь, пришкольный оздоровительный лагерь, пришкольный оздоровительный лагерь</t>
  </si>
  <si>
    <t>Не состоит</t>
  </si>
  <si>
    <t>[нет]</t>
  </si>
  <si>
    <t>не обучается</t>
  </si>
  <si>
    <t>не относится ни к одной из указанных категорий</t>
  </si>
  <si>
    <t>НУРБАЕВ</t>
  </si>
  <si>
    <t>ДАМИР</t>
  </si>
  <si>
    <t>РУСЛАНОВИЧ</t>
  </si>
  <si>
    <t>мужской</t>
  </si>
  <si>
    <t>Математика</t>
  </si>
  <si>
    <t>Не участвовал(а)</t>
  </si>
  <si>
    <t>АЖИБАЕВ</t>
  </si>
  <si>
    <t>ТАМЕРЛАН</t>
  </si>
  <si>
    <t>БЕРИКОВИЧ</t>
  </si>
  <si>
    <t>Г</t>
  </si>
  <si>
    <t>3 - троечник</t>
  </si>
  <si>
    <t>3, 3, 3, 3, 3</t>
  </si>
  <si>
    <t>национальные игры</t>
  </si>
  <si>
    <t>ЖУМАГУЛОВ</t>
  </si>
  <si>
    <t>АМАНГЕЛЬДЫ</t>
  </si>
  <si>
    <t>БАРЛЫБАЕВИЧ</t>
  </si>
  <si>
    <t>А</t>
  </si>
  <si>
    <t>казахский</t>
  </si>
  <si>
    <t>3, 5, 4, 4, 4</t>
  </si>
  <si>
    <t>футбольные</t>
  </si>
  <si>
    <t>КОСТЮЧЕНКОВ</t>
  </si>
  <si>
    <t>СЕРГЕЙ</t>
  </si>
  <si>
    <t>АНДРЕЕВИЧ</t>
  </si>
  <si>
    <t>Русские</t>
  </si>
  <si>
    <t>В</t>
  </si>
  <si>
    <t>ноутбук (личный)</t>
  </si>
  <si>
    <t>волейбольные</t>
  </si>
  <si>
    <t>Июнь, Июнь, Август</t>
  </si>
  <si>
    <t>СИНЯВИНА</t>
  </si>
  <si>
    <t>МАРГАРИТА</t>
  </si>
  <si>
    <t>ВАЛЕРЬЕВНА</t>
  </si>
  <si>
    <t>Немцы</t>
  </si>
  <si>
    <t>1 год и меньше</t>
  </si>
  <si>
    <t>3, 4, 3, 3, 3</t>
  </si>
  <si>
    <t>АМАНГЕЛДІ</t>
  </si>
  <si>
    <t>МАНСҰР</t>
  </si>
  <si>
    <t>БАУРЖАНҰЛЫ</t>
  </si>
  <si>
    <t>не посещал</t>
  </si>
  <si>
    <t>КАМЕЕВ</t>
  </si>
  <si>
    <t>АЛИШЕР</t>
  </si>
  <si>
    <t>СЕРИКОВИЧ</t>
  </si>
  <si>
    <t>УАЛИ</t>
  </si>
  <si>
    <t>АЛИНА</t>
  </si>
  <si>
    <t>ТАЛГАТОВНА</t>
  </si>
  <si>
    <t>5 - отличник</t>
  </si>
  <si>
    <t>языковые</t>
  </si>
  <si>
    <t>ТИМУРЛАН</t>
  </si>
  <si>
    <t>ЕРЖАН</t>
  </si>
  <si>
    <t>ҚИЗАТҰЛЫ</t>
  </si>
  <si>
    <t>8 класс</t>
  </si>
  <si>
    <t>нет (не посещает)</t>
  </si>
  <si>
    <t>НЕМЦЕВ</t>
  </si>
  <si>
    <t>ДМИТРИЙ</t>
  </si>
  <si>
    <t>ДЕНИСОВИЧ</t>
  </si>
  <si>
    <t>Август</t>
  </si>
  <si>
    <t>бригады по озеленению и благоустройству</t>
  </si>
  <si>
    <t>ДУДНИКОВ</t>
  </si>
  <si>
    <t>РОМАНОВИЧ</t>
  </si>
  <si>
    <t>2019-12-05T17:19:00</t>
  </si>
  <si>
    <t>КОСАНАЕВА</t>
  </si>
  <si>
    <t>КАМИЛА</t>
  </si>
  <si>
    <t>ЖУСУПОВНА</t>
  </si>
  <si>
    <t>2 года</t>
  </si>
  <si>
    <t>7 класс</t>
  </si>
  <si>
    <t>борьба (все виды)</t>
  </si>
  <si>
    <t>2019-12-05T13:06:00</t>
  </si>
  <si>
    <t>МИЗЕНКО</t>
  </si>
  <si>
    <t>КРИСТИНА</t>
  </si>
  <si>
    <t>АЛЕКСАНДРОВНА</t>
  </si>
  <si>
    <t>Украинцы</t>
  </si>
  <si>
    <t>стационарный компьютер (личный)</t>
  </si>
  <si>
    <t>ӘМИНА</t>
  </si>
  <si>
    <t>БАУРЖАНҚЫЗЫ</t>
  </si>
  <si>
    <t>современные танцы</t>
  </si>
  <si>
    <t>АСАНОВА</t>
  </si>
  <si>
    <t>АРУЖАН</t>
  </si>
  <si>
    <t>КАЛИЖАНОВНА</t>
  </si>
  <si>
    <t>КУАНЫШ</t>
  </si>
  <si>
    <t>АЛИХАН</t>
  </si>
  <si>
    <t>САМАТҰЛЫ</t>
  </si>
  <si>
    <t>баскетбольные</t>
  </si>
  <si>
    <t>2019-12-05T18:12:00</t>
  </si>
  <si>
    <t>ЭЙХВАЛЬД</t>
  </si>
  <si>
    <t>ВИТАЛИЙ</t>
  </si>
  <si>
    <t>ВИТАЛЬЕВИЧ</t>
  </si>
  <si>
    <t>стационарный компьютер (обеспечен данной организацией)</t>
  </si>
  <si>
    <t>Республиканский бюджет</t>
  </si>
  <si>
    <t>2020 (с 1 сентября по 31 декабря)</t>
  </si>
  <si>
    <t>из них временно (заболевание на длительный период)</t>
  </si>
  <si>
    <t>по индивидуальной программе общеобразовательной школы</t>
  </si>
  <si>
    <t>2023-09-01T00:00:00</t>
  </si>
  <si>
    <t>2024-05-25T00:00:00</t>
  </si>
  <si>
    <t>3, 3, 3, 3, 4</t>
  </si>
  <si>
    <t>ЖАНИБЕК</t>
  </si>
  <si>
    <t>ЕРБОЛАТ</t>
  </si>
  <si>
    <t>ЕРКЕБУЛАНҰЛЫ</t>
  </si>
  <si>
    <t>другого района (города) данной области</t>
  </si>
  <si>
    <t>Дебатное движение</t>
  </si>
  <si>
    <t>ТЕМИРОВА</t>
  </si>
  <si>
    <t>АЙДАНАК</t>
  </si>
  <si>
    <t>РИНАТОВНА</t>
  </si>
  <si>
    <t>шахматно-шашечные</t>
  </si>
  <si>
    <t>ШУНГУРБАЙ</t>
  </si>
  <si>
    <t>ТЕМИРЛАН</t>
  </si>
  <si>
    <t>РУСЛАНҰЛЫ</t>
  </si>
  <si>
    <t>Конкурс</t>
  </si>
  <si>
    <t>Республиканские</t>
  </si>
  <si>
    <t>2019-11-15T17:21:00</t>
  </si>
  <si>
    <t>ЗОЛОТОВ</t>
  </si>
  <si>
    <t>ДМИТРИЕВА</t>
  </si>
  <si>
    <t>АНАСТАСИЯ</t>
  </si>
  <si>
    <t>6 класс</t>
  </si>
  <si>
    <t>платно</t>
  </si>
  <si>
    <t>ФИСУН</t>
  </si>
  <si>
    <t>ЯНА</t>
  </si>
  <si>
    <t>АНАТОЛЬЕВНА</t>
  </si>
  <si>
    <t>ИЗО</t>
  </si>
  <si>
    <t>2019-12-05T13:09:00</t>
  </si>
  <si>
    <t>НУРКЕНОВА</t>
  </si>
  <si>
    <t>КАЗБЕКОВНА</t>
  </si>
  <si>
    <t>[охвачен(-а) горячим питанием, охвачен(-а) бесплатным горячим питанием]</t>
  </si>
  <si>
    <t>ЕСЕНБАЙ</t>
  </si>
  <si>
    <t>ЖАНСАЯ</t>
  </si>
  <si>
    <t>ҚУАНЫШБЕКҚЫЗЫ</t>
  </si>
  <si>
    <t>2019-12-05T11:16:00</t>
  </si>
  <si>
    <t>ТУЛЕУ</t>
  </si>
  <si>
    <t>ДАНИЯР</t>
  </si>
  <si>
    <t>САЯНҰЛЫ</t>
  </si>
  <si>
    <t>смешанная техника</t>
  </si>
  <si>
    <t>АРХИПОВА</t>
  </si>
  <si>
    <t>ЛИЯ</t>
  </si>
  <si>
    <t>РУСЛАНОВНА</t>
  </si>
  <si>
    <t>Татары</t>
  </si>
  <si>
    <t>2019-11-15T13:00:00</t>
  </si>
  <si>
    <t>НАРМАТОВА</t>
  </si>
  <si>
    <t>АРИНА</t>
  </si>
  <si>
    <t>РИШАТОВНА</t>
  </si>
  <si>
    <t>Узбеки</t>
  </si>
  <si>
    <t>КАТЦИН</t>
  </si>
  <si>
    <t>АЛЕКСЕЙ</t>
  </si>
  <si>
    <t>АНАТОЛЬЕВИЧ</t>
  </si>
  <si>
    <t>5, 5, 5, 5, 5</t>
  </si>
  <si>
    <t>[нарушение функций опорно-двигательного аппарата (НФОДА)]</t>
  </si>
  <si>
    <t>АЯШЕВ</t>
  </si>
  <si>
    <t>БИРЖАН</t>
  </si>
  <si>
    <t>БЕЙБУТОВИЧ</t>
  </si>
  <si>
    <t>ГАБДУЛЛИН</t>
  </si>
  <si>
    <t>ИЛЬЯС</t>
  </si>
  <si>
    <t>МЫСЫРОВ</t>
  </si>
  <si>
    <t>МАКСАТ</t>
  </si>
  <si>
    <t>НАРИМАНОВИЧ</t>
  </si>
  <si>
    <t>АЙДАРХАН</t>
  </si>
  <si>
    <t>ЖАНЕРКЕ</t>
  </si>
  <si>
    <t>АМАНКЕЛДІҚЫЗЫ</t>
  </si>
  <si>
    <t>Научное</t>
  </si>
  <si>
    <t>Городские</t>
  </si>
  <si>
    <t>2019-12-20T13:55:00</t>
  </si>
  <si>
    <t>НАЗЕРКЕ</t>
  </si>
  <si>
    <t>3, 4, 4, 4, 4</t>
  </si>
  <si>
    <t>2019-11-15T13:56:00</t>
  </si>
  <si>
    <t>АЛЕКСЕЕВА</t>
  </si>
  <si>
    <t>КАЛИНИНА</t>
  </si>
  <si>
    <t>ТАТЬЯНА</t>
  </si>
  <si>
    <t>АНДРЕЕВНА</t>
  </si>
  <si>
    <t>ПОТЕЕВ</t>
  </si>
  <si>
    <t>ИВАН</t>
  </si>
  <si>
    <t>ВЯЧЕСЛАВОВИЧ</t>
  </si>
  <si>
    <t>силовые виды спорта</t>
  </si>
  <si>
    <t>МАКАРОВА</t>
  </si>
  <si>
    <t>СЕРГЕЕВНА</t>
  </si>
  <si>
    <t>ЯДРОШНИКОВА</t>
  </si>
  <si>
    <t>МАКСИМОВНА</t>
  </si>
  <si>
    <t>НЕКЛЕЕНОВ</t>
  </si>
  <si>
    <t>ЯРОСЛАВ</t>
  </si>
  <si>
    <t>ВИКТОРОВИЧ</t>
  </si>
  <si>
    <t>планшет (личный)</t>
  </si>
  <si>
    <t>ФЕДОРОВА</t>
  </si>
  <si>
    <t>ВИТАЛЬЕВНА</t>
  </si>
  <si>
    <t>Математика, Естествознание</t>
  </si>
  <si>
    <t>3, 3</t>
  </si>
  <si>
    <t>НАРГИЗ</t>
  </si>
  <si>
    <t>АРМАНҚЫЗЫ</t>
  </si>
  <si>
    <t>5 класс</t>
  </si>
  <si>
    <t>[охвачен(-а) бесплатным горячим питанием, охвачен(-а) горячим питанием]</t>
  </si>
  <si>
    <t>иным категориям обучающихся и воспитанников, определяемым коллегиальным органом управления организации образования</t>
  </si>
  <si>
    <t>[Финансовая помощь]</t>
  </si>
  <si>
    <t>РБ</t>
  </si>
  <si>
    <t>ТЫНИШБАЕВ</t>
  </si>
  <si>
    <t>РУСЛАН</t>
  </si>
  <si>
    <t>САБИХАНОВИЧ</t>
  </si>
  <si>
    <t>ЖҰМАБАЙ</t>
  </si>
  <si>
    <t>МАҒЖАН</t>
  </si>
  <si>
    <t>НҰРЛЫБЕКҰЛЫ</t>
  </si>
  <si>
    <t>2019-12-05T13:26:00</t>
  </si>
  <si>
    <t>ЕСТАУЛЕТОВ</t>
  </si>
  <si>
    <t>БЕКЗАТ</t>
  </si>
  <si>
    <t>КАИРГЕЛЬДИЕВИЧ</t>
  </si>
  <si>
    <t>Ә</t>
  </si>
  <si>
    <t>НҰРАЛЫ</t>
  </si>
  <si>
    <t>НҰРБОЛ</t>
  </si>
  <si>
    <t>НАҒАШЫБЕКҰЛЫ</t>
  </si>
  <si>
    <t>2019-12-05T12:05:00</t>
  </si>
  <si>
    <t>ФУРМАН</t>
  </si>
  <si>
    <t>САТТАРОВА</t>
  </si>
  <si>
    <t>РАИСОВНА</t>
  </si>
  <si>
    <t>ЖЫЛҚАЙДАР</t>
  </si>
  <si>
    <t>АРСЛАН</t>
  </si>
  <si>
    <t>БЕЙІМБЕТҰЛЫ</t>
  </si>
  <si>
    <t>НИЯЗБЕКОВА</t>
  </si>
  <si>
    <t>ЯСМИНА</t>
  </si>
  <si>
    <t>МУРАТОВНА</t>
  </si>
  <si>
    <t>ЮЛДАШ</t>
  </si>
  <si>
    <t>МӘДИНА</t>
  </si>
  <si>
    <t>РАСУЛҚЫЗЫ</t>
  </si>
  <si>
    <t>ҚИЯШ</t>
  </si>
  <si>
    <t>ГАУҺАРТАС</t>
  </si>
  <si>
    <t>АМАНДЫҚҚЫЗЫ</t>
  </si>
  <si>
    <t>ОДИЛХОНОВ</t>
  </si>
  <si>
    <t>ЖАНПОЛАТ</t>
  </si>
  <si>
    <t>ПАРДАБЕКОВИЧ</t>
  </si>
  <si>
    <t>2019-12-05T13:30:00</t>
  </si>
  <si>
    <t>КАРИМОВА</t>
  </si>
  <si>
    <t>КАРИНА</t>
  </si>
  <si>
    <t>МАРАТОВНА</t>
  </si>
  <si>
    <t>2019-12-05T14:13:00</t>
  </si>
  <si>
    <t>СЕРІК</t>
  </si>
  <si>
    <t>АҚБОТА</t>
  </si>
  <si>
    <t>МЕЙРАМБЕКҚЫЗЫ</t>
  </si>
  <si>
    <t>4, 5, 4, 4, 4</t>
  </si>
  <si>
    <t>ЗАДОРОЖНЯЯ</t>
  </si>
  <si>
    <t>РЕГИНА</t>
  </si>
  <si>
    <t>ТОКАРЧИК</t>
  </si>
  <si>
    <t>Белорусы</t>
  </si>
  <si>
    <t>ОМЕРЖАН</t>
  </si>
  <si>
    <t>МҰХАММЕД</t>
  </si>
  <si>
    <t>ЕЛДОСҰЛЫ</t>
  </si>
  <si>
    <t>2019-12-05T14:14:00</t>
  </si>
  <si>
    <t>Июль</t>
  </si>
  <si>
    <t>без питания</t>
  </si>
  <si>
    <t>другой пришкольный лагерь</t>
  </si>
  <si>
    <t>СӘРСЕН</t>
  </si>
  <si>
    <t>ЕРСҰЛТАН</t>
  </si>
  <si>
    <t>ҒАЛЫМЖАНҰЛЫ</t>
  </si>
  <si>
    <t>ЛУКПАН</t>
  </si>
  <si>
    <t>ЕРБОЛҰЛЫ</t>
  </si>
  <si>
    <t>БАЙМҰРАТ</t>
  </si>
  <si>
    <t>МӘНСҮР</t>
  </si>
  <si>
    <t>ҚУАТҰЛЫ</t>
  </si>
  <si>
    <t>БАЗАРОВА</t>
  </si>
  <si>
    <t>ЖУЛДЫЗАЙ</t>
  </si>
  <si>
    <t>БЕГАРИСОВНА</t>
  </si>
  <si>
    <t>АИПОВ</t>
  </si>
  <si>
    <t>СЕРЖАНАЛИ</t>
  </si>
  <si>
    <t>ШИНСЕИДОВИЧ</t>
  </si>
  <si>
    <t>ӘЛІБЕКҚЫЗЫ</t>
  </si>
  <si>
    <t>АЙАРУ</t>
  </si>
  <si>
    <t>5, 5</t>
  </si>
  <si>
    <t>ДИЛМУРАТОВ</t>
  </si>
  <si>
    <t>БАГЛАН</t>
  </si>
  <si>
    <t>РАХЫМЖАНОВИЧ</t>
  </si>
  <si>
    <t>обеспечен другой школой</t>
  </si>
  <si>
    <t>ДИЛЬМАНОВА</t>
  </si>
  <si>
    <t>ЖАНЕЛЯ</t>
  </si>
  <si>
    <t>МАХМУТОВНА</t>
  </si>
  <si>
    <t>4 класс</t>
  </si>
  <si>
    <t>не имеется</t>
  </si>
  <si>
    <t>115-129</t>
  </si>
  <si>
    <t>АЗИХАНОВА</t>
  </si>
  <si>
    <t>АНЕЛЯ</t>
  </si>
  <si>
    <t>АСЫЛХАНОВНА</t>
  </si>
  <si>
    <t>АХМЕТОВ</t>
  </si>
  <si>
    <t>АРТУР</t>
  </si>
  <si>
    <t>БАРАНБАЕВ</t>
  </si>
  <si>
    <t>МАЛИК</t>
  </si>
  <si>
    <t>АДЫЛЕВИЧ</t>
  </si>
  <si>
    <t>ДЮСЕМБИНА</t>
  </si>
  <si>
    <t>ЗАРИНА</t>
  </si>
  <si>
    <t>АРМАНОВНА</t>
  </si>
  <si>
    <t>КРАВЧЕНКО</t>
  </si>
  <si>
    <t>ДАРЬЯ</t>
  </si>
  <si>
    <t>ФАХИРДИНОВА</t>
  </si>
  <si>
    <t>АДЕЛИНА</t>
  </si>
  <si>
    <t>ФЕДОТОВ</t>
  </si>
  <si>
    <t>КИРИЛЛ</t>
  </si>
  <si>
    <t>АЛЕКСАНДРОВИЧ</t>
  </si>
  <si>
    <t>ШАЙЗАДА</t>
  </si>
  <si>
    <t>АРМИН</t>
  </si>
  <si>
    <t>АЙБОЛҚЫЗЫ</t>
  </si>
  <si>
    <t>ОРЗИЕВ</t>
  </si>
  <si>
    <t>ДЖАМШЕД</t>
  </si>
  <si>
    <t>АЗИМДЖОНОВИЧ</t>
  </si>
  <si>
    <t>ТАДЖИКИСТАН</t>
  </si>
  <si>
    <t>Таджики</t>
  </si>
  <si>
    <t>другого государства СНГ</t>
  </si>
  <si>
    <t>ХМАРА</t>
  </si>
  <si>
    <t>АРТЁМ</t>
  </si>
  <si>
    <t>АЛЕКСЕЕВИЧ</t>
  </si>
  <si>
    <t>2019-10-24T21:09:00</t>
  </si>
  <si>
    <t>НЕСТЕРОВА</t>
  </si>
  <si>
    <t>КАЗИЗОВА</t>
  </si>
  <si>
    <t>КОВАЛЁВ</t>
  </si>
  <si>
    <t>ДАНИЛ</t>
  </si>
  <si>
    <t>АРТЕМОВИЧ</t>
  </si>
  <si>
    <t>3 класс</t>
  </si>
  <si>
    <t>85-99</t>
  </si>
  <si>
    <t>МКОЯН</t>
  </si>
  <si>
    <t>РАФАЭЛЬ</t>
  </si>
  <si>
    <t>АРКАДИЕВИЧ</t>
  </si>
  <si>
    <t>Армяне</t>
  </si>
  <si>
    <t>ТУРГУНОВ</t>
  </si>
  <si>
    <t>АМАНБАЕВ</t>
  </si>
  <si>
    <t>АМИР</t>
  </si>
  <si>
    <t>КАМЕЕВА</t>
  </si>
  <si>
    <t>АНЕЛЬ</t>
  </si>
  <si>
    <t>СЕРИКОВНА</t>
  </si>
  <si>
    <t>АРЛАН</t>
  </si>
  <si>
    <t>НАГОРНОВА</t>
  </si>
  <si>
    <t>ВЕРОНИКА</t>
  </si>
  <si>
    <t>АЛЕКСЕЕВНА</t>
  </si>
  <si>
    <t>БАЕВ</t>
  </si>
  <si>
    <t>ИГОРЬ</t>
  </si>
  <si>
    <t>СЕРГЕЕВИЧ</t>
  </si>
  <si>
    <t>КРИВЕЦ</t>
  </si>
  <si>
    <t>ЕЛИЗАВЕТА</t>
  </si>
  <si>
    <t>2018-09-12T00:00:00</t>
  </si>
  <si>
    <t>ТКАЧЕНКО</t>
  </si>
  <si>
    <t>Олимпиада , Олимпиада</t>
  </si>
  <si>
    <t>Предметное, Предметное</t>
  </si>
  <si>
    <t>На уровне данной организации, На уровне данной организации</t>
  </si>
  <si>
    <t>Диплом, Диплом</t>
  </si>
  <si>
    <t>2020-02-21T16:08:00, 2020-02-21T16:07:00</t>
  </si>
  <si>
    <t>ӘМІРӘЛІ</t>
  </si>
  <si>
    <t>АМАНБАЙҰЛЫ</t>
  </si>
  <si>
    <t>2 класс</t>
  </si>
  <si>
    <t>55-69</t>
  </si>
  <si>
    <t>ЗЫРЯНОВА</t>
  </si>
  <si>
    <t>ВАРВАРА</t>
  </si>
  <si>
    <t>ИВАНОВНА</t>
  </si>
  <si>
    <t>ШАЙМҰРАТ</t>
  </si>
  <si>
    <t>НҰРЖІГІТ</t>
  </si>
  <si>
    <t>ТАЛҒАТҰЛЫ</t>
  </si>
  <si>
    <t>СТЫРСКАЯ</t>
  </si>
  <si>
    <t>САҒЫНБАЙ</t>
  </si>
  <si>
    <t>БИХАНЫМ</t>
  </si>
  <si>
    <t>САҒЫНДЫҚҚЫЗЫ</t>
  </si>
  <si>
    <t>КОНДРАТЕНКО</t>
  </si>
  <si>
    <t>ДЕНИСОВНА</t>
  </si>
  <si>
    <t>пришкольный оздоровительный лагерь, пришкольный оздоровительный лагерь, пришкольный дебатный лагерь</t>
  </si>
  <si>
    <t>ШАМШИДЕН</t>
  </si>
  <si>
    <t>АЙЫМ</t>
  </si>
  <si>
    <t>ЕРЛАНҚЫЗЫ</t>
  </si>
  <si>
    <t>МЕДВЕДЕВ</t>
  </si>
  <si>
    <t>ЭМИН</t>
  </si>
  <si>
    <t>АСЫЛБЕК</t>
  </si>
  <si>
    <t>СЫРЫМ</t>
  </si>
  <si>
    <t>АЙБЕКҰЛЫ</t>
  </si>
  <si>
    <t>НУРТАЗИН</t>
  </si>
  <si>
    <t>ТЕМИРХАН</t>
  </si>
  <si>
    <t>АМАНЖАНҰЛЫ</t>
  </si>
  <si>
    <t>НУРТАЗИНА</t>
  </si>
  <si>
    <t>ТАМИРИС</t>
  </si>
  <si>
    <t>АМАНЖАНОВНА</t>
  </si>
  <si>
    <t>3, 4, 4, 3, 4</t>
  </si>
  <si>
    <t>2020-02-12T21:55:00</t>
  </si>
  <si>
    <t>КАЙРИДЕН</t>
  </si>
  <si>
    <t>АДИЛЬ</t>
  </si>
  <si>
    <t>ДАУЛЕТҰЛЫ</t>
  </si>
  <si>
    <t>ТОЛБАС</t>
  </si>
  <si>
    <t>ӘДЕМІ</t>
  </si>
  <si>
    <t>ЖАНДОСҚЫЗЫ</t>
  </si>
  <si>
    <t>Естествознание</t>
  </si>
  <si>
    <t>КУРМАНОВА</t>
  </si>
  <si>
    <t>ВАЛИХАНОВНА</t>
  </si>
  <si>
    <t>Творческое</t>
  </si>
  <si>
    <t>На уровне данной организации</t>
  </si>
  <si>
    <t>2019-06-01T00:00:00</t>
  </si>
  <si>
    <t>НУРЖАН</t>
  </si>
  <si>
    <t>ЖАН</t>
  </si>
  <si>
    <t>ЖАНАТҰЛЫ</t>
  </si>
  <si>
    <t>СОВЕТ</t>
  </si>
  <si>
    <t>АЙЗЕРЕ</t>
  </si>
  <si>
    <t>СЕРІКҚЫЗЫ</t>
  </si>
  <si>
    <t>АКСЕНОВ</t>
  </si>
  <si>
    <t>ГЛЕБ</t>
  </si>
  <si>
    <t>КОШАНОВ</t>
  </si>
  <si>
    <t>ЕРЖАНОВИЧ</t>
  </si>
  <si>
    <t>70-84</t>
  </si>
  <si>
    <t>МҰРАДӘЛИ</t>
  </si>
  <si>
    <t>ІНЖУ</t>
  </si>
  <si>
    <t>ДӘУЛЕТҚЫЗЫ</t>
  </si>
  <si>
    <t>Диплом</t>
  </si>
  <si>
    <t>2023-10-23T00:00:00</t>
  </si>
  <si>
    <t>АИПОВА</t>
  </si>
  <si>
    <t>АЙЛИН</t>
  </si>
  <si>
    <t>ШИНСЕИДОВНА</t>
  </si>
  <si>
    <t>АЛИМКАЙДАРОВ</t>
  </si>
  <si>
    <t>АЛЬНИЯЗ</t>
  </si>
  <si>
    <t>КАНАТОВИЧ</t>
  </si>
  <si>
    <t>с питанием, с питанием, без питания</t>
  </si>
  <si>
    <t>АКАМАШВИЛИ</t>
  </si>
  <si>
    <t>ДЕНИЗ</t>
  </si>
  <si>
    <t>другие художественно-эстетические</t>
  </si>
  <si>
    <t>АТАМАСЬ</t>
  </si>
  <si>
    <t>БОНДАРЬ</t>
  </si>
  <si>
    <t>ПАВЛОВИЧ</t>
  </si>
  <si>
    <t>ЧЕРНОВ</t>
  </si>
  <si>
    <t>БАҚЫТЖАН</t>
  </si>
  <si>
    <t>АЛДИЯР</t>
  </si>
  <si>
    <t>ЕРЖАНҰЛЫ</t>
  </si>
  <si>
    <t>другой области</t>
  </si>
  <si>
    <t>АКЫЛБЕКОВА</t>
  </si>
  <si>
    <t>АЙСАНА</t>
  </si>
  <si>
    <t>САМАТОВНА</t>
  </si>
  <si>
    <t>АХМЕТ</t>
  </si>
  <si>
    <t>АҚНҰР</t>
  </si>
  <si>
    <t>МАРАТҚЫЗЫ</t>
  </si>
  <si>
    <t>[нарушение речи]</t>
  </si>
  <si>
    <t>ЖАРАЛГАСОВ</t>
  </si>
  <si>
    <t>АРНУР</t>
  </si>
  <si>
    <t>БАХТИЯРОВИЧ</t>
  </si>
  <si>
    <t>ВИДЕНМАЕР</t>
  </si>
  <si>
    <t>ЕВГЕНИЙ</t>
  </si>
  <si>
    <t>ЕВГЕНИЕВИЧ</t>
  </si>
  <si>
    <t>1 класс</t>
  </si>
  <si>
    <t>0 - не проставляют</t>
  </si>
  <si>
    <t>40-54</t>
  </si>
  <si>
    <t>иже черты бедности</t>
  </si>
  <si>
    <t>из семей, имеющих право на получение государственной адресной социальной помощи;</t>
  </si>
  <si>
    <t>АМАНГЕЛЬДИНОВА</t>
  </si>
  <si>
    <t>АЙМИРА</t>
  </si>
  <si>
    <t>АБЗАЛОВНА</t>
  </si>
  <si>
    <t>ШПЕКБАЕВ</t>
  </si>
  <si>
    <t>НУРБОЛ</t>
  </si>
  <si>
    <t>САКЕНОВИЧ</t>
  </si>
  <si>
    <t>МАХАЕВА</t>
  </si>
  <si>
    <t>Математика, Информатика</t>
  </si>
  <si>
    <t>4, 4</t>
  </si>
  <si>
    <t>КУЛПЫНАЙ</t>
  </si>
  <si>
    <t>ХРЕННИКОВ</t>
  </si>
  <si>
    <t>ДМИТРИЕВИЧ</t>
  </si>
  <si>
    <t>ДИАНА</t>
  </si>
  <si>
    <t>САФОНОВ</t>
  </si>
  <si>
    <t>ДЕНИС</t>
  </si>
  <si>
    <t>ЗАВАДА</t>
  </si>
  <si>
    <t>СТАНИСЛАВ</t>
  </si>
  <si>
    <t>НИКОЛАЕВИЧ</t>
  </si>
  <si>
    <t>[ с задержкой психического развития]</t>
  </si>
  <si>
    <t>АҚЫЛБЕК</t>
  </si>
  <si>
    <t>САНЖАР</t>
  </si>
  <si>
    <t>ЕРМЕК</t>
  </si>
  <si>
    <t>АРСЕН</t>
  </si>
  <si>
    <t>ДИМАШҰЛЫ</t>
  </si>
  <si>
    <t>КУЛЬКЕНОВА</t>
  </si>
  <si>
    <t>АЛЬМИРА</t>
  </si>
  <si>
    <t>АДЕЛЬБЕКОВНА</t>
  </si>
  <si>
    <t>ПОНАМАРЕВ</t>
  </si>
  <si>
    <t>МАКСИМ</t>
  </si>
  <si>
    <t>ЛУГОВОЙ</t>
  </si>
  <si>
    <t>МАМУНОВА</t>
  </si>
  <si>
    <t>ГАУХАРТАС</t>
  </si>
  <si>
    <t>КАИРИДЕНОВНА</t>
  </si>
  <si>
    <t>ИЗОТОВА</t>
  </si>
  <si>
    <t>НАДЕЖДА</t>
  </si>
  <si>
    <t>КОНСТАНТИНОВНА</t>
  </si>
  <si>
    <t>ИЛЬМУРАДОВА</t>
  </si>
  <si>
    <t>ИЛЬГИЗА</t>
  </si>
  <si>
    <t>САБИРОВНА</t>
  </si>
  <si>
    <t>ЕРІК</t>
  </si>
  <si>
    <t>ЕРНАЗАР</t>
  </si>
  <si>
    <t>ЕРДОСҰЛЫ</t>
  </si>
  <si>
    <t>Финансовая помощь</t>
  </si>
  <si>
    <t>ЕГОРОВА</t>
  </si>
  <si>
    <t>КУПЕШЕВ</t>
  </si>
  <si>
    <t>БАУРЖАНОВИЧ</t>
  </si>
  <si>
    <t>ДАРХАНБЕКОВ</t>
  </si>
  <si>
    <t>АЛЬМАДИ</t>
  </si>
  <si>
    <t>АЛГАТАЕВИЧ</t>
  </si>
  <si>
    <t>[нарушение речи,  с задержкой психического развития]</t>
  </si>
  <si>
    <t>САДИРБАЕВА</t>
  </si>
  <si>
    <t>САНДУГАШ</t>
  </si>
  <si>
    <t>ЖАНДАРОВНА</t>
  </si>
  <si>
    <t>теннис</t>
  </si>
  <si>
    <t>БАХТИНОВ</t>
  </si>
  <si>
    <t>БОГДАН</t>
  </si>
  <si>
    <t>РОССИЯ</t>
  </si>
  <si>
    <t>БАЗАРБАЙ</t>
  </si>
  <si>
    <t>СЕРІКҰЛЫ</t>
  </si>
  <si>
    <t>ЛОБОДА</t>
  </si>
  <si>
    <t>ВИКТОРИЯ</t>
  </si>
  <si>
    <t>СТАНИСЛАВОВНА</t>
  </si>
  <si>
    <t>ТЮЛЮБАЙ</t>
  </si>
  <si>
    <t>АСХАТҚЫЗЫ</t>
  </si>
  <si>
    <t>ТЕМІРБОЛАТ</t>
  </si>
  <si>
    <t>МЕДИНА</t>
  </si>
  <si>
    <t>ОЛЖАСҚЫЗЫ</t>
  </si>
  <si>
    <t>АСМУС</t>
  </si>
  <si>
    <t>БАКИЕВ</t>
  </si>
  <si>
    <t>КОНСТАНТИН</t>
  </si>
  <si>
    <t>ГЕНАДЬЕВИЧ</t>
  </si>
  <si>
    <t>СЫДЫҚ</t>
  </si>
  <si>
    <t>ӘБІЛҚАЙЫРХАН</t>
  </si>
  <si>
    <t>ҚАЙРАТҰЛЫ</t>
  </si>
  <si>
    <t>СЛЯМШІ</t>
  </si>
  <si>
    <t>ДАРИЯ</t>
  </si>
  <si>
    <t>ЖАМБОТАҚЫЗЫ</t>
  </si>
  <si>
    <t>ЕРМУХАН</t>
  </si>
  <si>
    <t>ХАЛИД</t>
  </si>
  <si>
    <t>АЙТМУХАНҰЛЫ</t>
  </si>
  <si>
    <t>АХМЕТЖАН</t>
  </si>
  <si>
    <t>ЕРКЕЖАН</t>
  </si>
  <si>
    <t>БУЛАТҚЫЗЫ</t>
  </si>
  <si>
    <t>ЖАНАТОВА</t>
  </si>
  <si>
    <t>САИДА</t>
  </si>
  <si>
    <t>КУАТОВНА</t>
  </si>
  <si>
    <t>УТУБАЕВА</t>
  </si>
  <si>
    <t>ЛИМАРА</t>
  </si>
  <si>
    <t>ЕРБОЛОВНА</t>
  </si>
  <si>
    <t>ДЖАРЫЛХАСЫНОВ</t>
  </si>
  <si>
    <t>ЕРЛАН</t>
  </si>
  <si>
    <t>ТУРАБЕКОВИЧ</t>
  </si>
  <si>
    <t>УЗБЕКИСТАН</t>
  </si>
  <si>
    <t>АЙБАС</t>
  </si>
  <si>
    <t>ГЕМАЛИДЕНОВА</t>
  </si>
  <si>
    <t>АЙЗАРА</t>
  </si>
  <si>
    <t>ИЛЬДАРОВНА</t>
  </si>
  <si>
    <t>Конкурс, Конкурс</t>
  </si>
  <si>
    <t>Творческое, Творческое</t>
  </si>
  <si>
    <t>Республиканские, Республиканские</t>
  </si>
  <si>
    <t>2023-10-23T00:00:00, 2023-11-16T00:00:00</t>
  </si>
  <si>
    <t>БЕКМУРАТОВА</t>
  </si>
  <si>
    <t>ДАЯНА</t>
  </si>
  <si>
    <t>АБДУЛЛАЕВНА</t>
  </si>
  <si>
    <t>МҰРАТ</t>
  </si>
  <si>
    <t>АЯНА</t>
  </si>
  <si>
    <t>НҰРСҰЛТАНҚЫЗЫ</t>
  </si>
  <si>
    <t>БОЛАТ</t>
  </si>
  <si>
    <t>МАЛИКА</t>
  </si>
  <si>
    <t>МАХАМБЕТҚЫЗЫ</t>
  </si>
  <si>
    <t>КОНЯЕВА</t>
  </si>
  <si>
    <t>другие декоративно-прикладные</t>
  </si>
  <si>
    <t>ҚАДЫРБАЙ</t>
  </si>
  <si>
    <t>ӘБІЛМАНСҰР</t>
  </si>
  <si>
    <t>МИРЗАБЕКҰЛЫ</t>
  </si>
  <si>
    <t>БАҚЫТЖАНҚЫЗЫ</t>
  </si>
  <si>
    <t>АЙША</t>
  </si>
  <si>
    <t>ЧЕРНЫЙ</t>
  </si>
  <si>
    <t>МИКАЭЛЬ</t>
  </si>
  <si>
    <t>ОСПАНОВА</t>
  </si>
  <si>
    <t>ИНЖУ</t>
  </si>
  <si>
    <t>ФАРИДОВНА</t>
  </si>
  <si>
    <t>АЙЗА</t>
  </si>
  <si>
    <t>ЛИТЯЕВА</t>
  </si>
  <si>
    <t>АЛЕКСАНДРА</t>
  </si>
  <si>
    <t>БОРОВКОВА</t>
  </si>
  <si>
    <t>СОФИЯ</t>
  </si>
  <si>
    <t>ДАНИЛЬЧЕНКО</t>
  </si>
  <si>
    <t>АЛЕКСАНДР</t>
  </si>
  <si>
    <t>ОЛЕГОВИЧ</t>
  </si>
  <si>
    <t>11 класс</t>
  </si>
  <si>
    <t>ОМУРТАЕВ</t>
  </si>
  <si>
    <t>НУРЛАНОВИЧ</t>
  </si>
  <si>
    <t>ДОСМАГАМБЕТОВ</t>
  </si>
  <si>
    <t>ЕРСАЙЫН</t>
  </si>
  <si>
    <t>ЕРМЕКОВИЧ</t>
  </si>
  <si>
    <t>АБДУЛЛАҰЛЫ</t>
  </si>
  <si>
    <t>АЛИМ</t>
  </si>
  <si>
    <t>ЖАМБОТАҰЛЫ</t>
  </si>
  <si>
    <t>КИНДЯШОВА</t>
  </si>
  <si>
    <t>ЕВГЕНЬЕВНА</t>
  </si>
  <si>
    <t>Мордва</t>
  </si>
  <si>
    <t>БАХЫТЖАН</t>
  </si>
  <si>
    <t>ТӨЛЕГЕНҚЫЗЫ</t>
  </si>
  <si>
    <t>другие танцы, другие спортивные</t>
  </si>
  <si>
    <t>бесплатно, бесплатно</t>
  </si>
  <si>
    <t>АЗАЛИЯ</t>
  </si>
  <si>
    <t>ХАКОВА</t>
  </si>
  <si>
    <t>САЛАВАТОВНА</t>
  </si>
  <si>
    <t>Башкиры</t>
  </si>
  <si>
    <t>Спартакиада</t>
  </si>
  <si>
    <t>Спортивное</t>
  </si>
  <si>
    <t>2019-09-16T00:00:00</t>
  </si>
  <si>
    <t>БУТЕНКО</t>
  </si>
  <si>
    <t>ИЛЬЯ</t>
  </si>
  <si>
    <t>ЖАНЕЛ</t>
  </si>
  <si>
    <t>КНЯЗЕВА</t>
  </si>
  <si>
    <t>РАФАИЛЬЕВНА</t>
  </si>
  <si>
    <t>БОГАТЕНКОВ</t>
  </si>
  <si>
    <t>ВЯЧЕСЛАВ</t>
  </si>
  <si>
    <t>Поляки</t>
  </si>
  <si>
    <t>ВЛАДИСЛАВ</t>
  </si>
  <si>
    <t>БАТРАКОВ</t>
  </si>
  <si>
    <t>НИКИТА</t>
  </si>
  <si>
    <t>ЕРАЛИ</t>
  </si>
  <si>
    <t>3, 3, 4, 3, 3</t>
  </si>
  <si>
    <t>Соревнование</t>
  </si>
  <si>
    <t>Областные</t>
  </si>
  <si>
    <t>2019-12-18T00:00:00</t>
  </si>
  <si>
    <t>ИЛЬМУРАДОВ</t>
  </si>
  <si>
    <t>ФАРРУХ</t>
  </si>
  <si>
    <t>САБИРОВИЧ</t>
  </si>
  <si>
    <t>СТРЕЛЬЦОВ</t>
  </si>
  <si>
    <t>ЮЛЬЕВИЧ</t>
  </si>
  <si>
    <t>КОНЕВ</t>
  </si>
  <si>
    <t>4, 4, 4, 3, 4</t>
  </si>
  <si>
    <t>ПОНОМАРЕВ</t>
  </si>
  <si>
    <t>ТИМОФЕЙ</t>
  </si>
  <si>
    <t>ЕВГЕНЬЕВИЧ</t>
  </si>
  <si>
    <t>ШАЯХМЕТОВА</t>
  </si>
  <si>
    <t>АЛИЯ</t>
  </si>
  <si>
    <t>НАРИМАНОВНА</t>
  </si>
  <si>
    <t>ЭСКИН</t>
  </si>
  <si>
    <t>ШЕВЧЕНКО</t>
  </si>
  <si>
    <t>ГОРБАЧЕНКО</t>
  </si>
  <si>
    <t>МАКАР</t>
  </si>
  <si>
    <t>БОРОВИК</t>
  </si>
  <si>
    <t>ВАСИЛЬЕВНА</t>
  </si>
  <si>
    <t>ВЕРЯСКИН</t>
  </si>
  <si>
    <t>ФЁДОР</t>
  </si>
  <si>
    <t>ПРИВАЛОВА</t>
  </si>
  <si>
    <t>ВЯЧЕСЛАВОВНА</t>
  </si>
  <si>
    <t>БАТРАКОВА</t>
  </si>
  <si>
    <t>РАЙЗЕР</t>
  </si>
  <si>
    <t>ЧЕРЕШКО</t>
  </si>
  <si>
    <t>МАТВЕЙ</t>
  </si>
  <si>
    <t>ЦЫБУЛЬСКАЯ</t>
  </si>
  <si>
    <t>ВАЛЕНТИНА</t>
  </si>
  <si>
    <t>ВИТАЛИЕВНА</t>
  </si>
  <si>
    <t>ДЕМЧЕНКО</t>
  </si>
  <si>
    <t>ВАЛЕРЬЕВИЧ</t>
  </si>
  <si>
    <t>САДВАКАСОВА</t>
  </si>
  <si>
    <t>РУФИНА</t>
  </si>
  <si>
    <t>АБДРАХМАН</t>
  </si>
  <si>
    <t>ТЕМІРЛАН</t>
  </si>
  <si>
    <t>САПАРҒАЛИҰЛЫ</t>
  </si>
  <si>
    <t>другие</t>
  </si>
  <si>
    <t>АЛИМОВА</t>
  </si>
  <si>
    <t>ДАРИНА</t>
  </si>
  <si>
    <t>эстрадный вокал</t>
  </si>
  <si>
    <t>ШӘКІР</t>
  </si>
  <si>
    <t>ӘСЕЛ</t>
  </si>
  <si>
    <t>АЙДЫНҚЫЗЫ</t>
  </si>
  <si>
    <t>ВЕГНЕР</t>
  </si>
  <si>
    <t>ГАТИЯТУЛЛИН</t>
  </si>
  <si>
    <t>ИМИЛЬ</t>
  </si>
  <si>
    <t>ИЛЬДАРОВИЧ</t>
  </si>
  <si>
    <t>КҮШІМБАЙ</t>
  </si>
  <si>
    <t>АЛУА</t>
  </si>
  <si>
    <t>АЗАМАТҚЫЗЫ</t>
  </si>
  <si>
    <t>ЕРДЕН</t>
  </si>
  <si>
    <t>СҮЙІНДІКҚЫЗЫ</t>
  </si>
  <si>
    <t>ГАЛИАКБАРОВ</t>
  </si>
  <si>
    <t>ДИАС</t>
  </si>
  <si>
    <t>ГАЙСАУЛЫ</t>
  </si>
  <si>
    <t>ЖУСУБАЕВА</t>
  </si>
  <si>
    <t>АТИЯ</t>
  </si>
  <si>
    <t>АЛПАМЫСОВНА</t>
  </si>
  <si>
    <t>КЛОЧКОВ</t>
  </si>
  <si>
    <t>АКИМОВА</t>
  </si>
  <si>
    <t>Другое</t>
  </si>
  <si>
    <t>2020-01-23T14:50:00</t>
  </si>
  <si>
    <t>АИМЖАН</t>
  </si>
  <si>
    <t>НИКИФОРОВА</t>
  </si>
  <si>
    <t>ВИОЛЕТТА</t>
  </si>
  <si>
    <t>БЫЧКОВА</t>
  </si>
  <si>
    <t>ТУРГУНОВА</t>
  </si>
  <si>
    <t>ЖЕТПІС</t>
  </si>
  <si>
    <t>АЛАН</t>
  </si>
  <si>
    <t>ҚАФИЗҰЛЫ</t>
  </si>
  <si>
    <t>БОЛАТБЕК</t>
  </si>
  <si>
    <t>МЕДЕТҚЫЗЫ</t>
  </si>
  <si>
    <t>АБЛАШ</t>
  </si>
  <si>
    <t>АЛМИРА</t>
  </si>
  <si>
    <t>ЕРЖАНҚЫЗЫ</t>
  </si>
  <si>
    <t>ХАВСАМЕТ</t>
  </si>
  <si>
    <t>РИНАТ</t>
  </si>
  <si>
    <t>НҰРҒАЙЫПҰЛЫ</t>
  </si>
  <si>
    <t>4, 5</t>
  </si>
  <si>
    <t>Олимпиада , Олимпиада , Конкурс</t>
  </si>
  <si>
    <t>Предметное, Предметное, Предметное</t>
  </si>
  <si>
    <t>Международные, Международные, Международные</t>
  </si>
  <si>
    <t>Грамота, Золотая медаль, Бронзовая медаль</t>
  </si>
  <si>
    <t>2020-02-03T00:00:00, 2020-04-04T00:00:00, 2020-05-11T00:00:00</t>
  </si>
  <si>
    <t>ГОТОВЕЦ</t>
  </si>
  <si>
    <t>ЮЛИЯ</t>
  </si>
  <si>
    <t>ВЛАДИМИРОВНА</t>
  </si>
  <si>
    <t>2019-02-20T00:00:00</t>
  </si>
  <si>
    <t>БАЙДУСЕНОВА</t>
  </si>
  <si>
    <t>МАХАББАТ</t>
  </si>
  <si>
    <t>БАУРЖАНОВНА</t>
  </si>
  <si>
    <t>ЖҰМАН</t>
  </si>
  <si>
    <t>МАРИЯМ</t>
  </si>
  <si>
    <t>АЯЗҚЫЗЫ</t>
  </si>
  <si>
    <t>ПАДАЛКО</t>
  </si>
  <si>
    <t>АННА</t>
  </si>
  <si>
    <t>МАДИНА</t>
  </si>
  <si>
    <t>ШВЕЙПС</t>
  </si>
  <si>
    <t>САЙЁРА</t>
  </si>
  <si>
    <t>ОСҚАР</t>
  </si>
  <si>
    <t>ЕРКЕБҰЛАН</t>
  </si>
  <si>
    <t>ЖАНБОЛАТҰЛЫ</t>
  </si>
  <si>
    <t>РАПИК</t>
  </si>
  <si>
    <t>АМИРА</t>
  </si>
  <si>
    <t>АЛТАЙҚЫЗЫ</t>
  </si>
  <si>
    <t>СУДЬИН</t>
  </si>
  <si>
    <t>ДАВИД</t>
  </si>
  <si>
    <t>ИВАНОВИЧ</t>
  </si>
  <si>
    <t>ЖАҚЫП</t>
  </si>
  <si>
    <t>ИСЛАМ</t>
  </si>
  <si>
    <t>ҚУАНЫШБЕКҰЛЫ</t>
  </si>
  <si>
    <t>МУСЛИМ</t>
  </si>
  <si>
    <t>МЕРЕКЕЕВ</t>
  </si>
  <si>
    <t>ИЛЬНУР</t>
  </si>
  <si>
    <t>АРНУРОВИЧ</t>
  </si>
  <si>
    <t>САМИРА</t>
  </si>
  <si>
    <t>КИЗАТҚЫЗЫ</t>
  </si>
  <si>
    <t>АСТАШЕНЯ</t>
  </si>
  <si>
    <t>ТЮЛЮБАЕВ</t>
  </si>
  <si>
    <t>АСЛАН</t>
  </si>
  <si>
    <t>АСХАТОВИЧ</t>
  </si>
  <si>
    <t>домбра</t>
  </si>
  <si>
    <t>[ с задержкой психического развития, нарушение речи]</t>
  </si>
  <si>
    <t>САВЛУК</t>
  </si>
  <si>
    <t>АЛЬФРЕД</t>
  </si>
  <si>
    <t>театральный , другие спортивные</t>
  </si>
  <si>
    <t>СЕЙСЕНҒАЛИ</t>
  </si>
  <si>
    <t>ӘЛИАСҚАР</t>
  </si>
  <si>
    <t>БАХТИЯРҰЛЫ</t>
  </si>
  <si>
    <t>КОРЖОВ</t>
  </si>
  <si>
    <t>НАЗАРИЙ</t>
  </si>
  <si>
    <t>БЕРІКБАЙ</t>
  </si>
  <si>
    <t>ЖАСМИНА</t>
  </si>
  <si>
    <t>БАҒДАТҚЫЗЫ</t>
  </si>
  <si>
    <t>СМАГУЛОВ</t>
  </si>
  <si>
    <t>ДИДАР</t>
  </si>
  <si>
    <t>ТИМУРОВИЧ</t>
  </si>
  <si>
    <t>ОРМАНОВ</t>
  </si>
  <si>
    <t>ШИРЯЕВА</t>
  </si>
  <si>
    <t>ЖАРАЛГАСОВА</t>
  </si>
  <si>
    <t>САЛТАНАТ</t>
  </si>
  <si>
    <t>БАХТИЯРОВНА</t>
  </si>
  <si>
    <t>ВЫСОКИХ</t>
  </si>
  <si>
    <t>ДАНИИЛ</t>
  </si>
  <si>
    <t>вокал</t>
  </si>
  <si>
    <t>НУРАКИМОВ</t>
  </si>
  <si>
    <t>АЛИЖАН</t>
  </si>
  <si>
    <t>ЖАНДОСОВИЧ</t>
  </si>
  <si>
    <t>Информатика</t>
  </si>
  <si>
    <t>ЧЕРНЫШ</t>
  </si>
  <si>
    <t>ЗАХАР</t>
  </si>
  <si>
    <t>ЮРЬЕВИЧ</t>
  </si>
  <si>
    <t>АУБАКИРОВ</t>
  </si>
  <si>
    <t>АМИРЛАН</t>
  </si>
  <si>
    <t>АСКАРОВИЧ</t>
  </si>
  <si>
    <t>БАЗАРБАЙҚЫЗЫ</t>
  </si>
  <si>
    <t>АЯУЛЫМ</t>
  </si>
  <si>
    <t>[Не оказана помощь]</t>
  </si>
  <si>
    <t>КОТЕЛЬНИК</t>
  </si>
  <si>
    <t>АИБЕКОВА</t>
  </si>
  <si>
    <t>ЖАНИБЕКОВНА</t>
  </si>
  <si>
    <t>ДИЛЬНАЗ</t>
  </si>
  <si>
    <t>АЙНАГУЛЬ</t>
  </si>
  <si>
    <t>СЕМБЕКОВА</t>
  </si>
  <si>
    <t>РЫМБЕКОВНА</t>
  </si>
  <si>
    <t>другое пение</t>
  </si>
  <si>
    <t>НУРАКИМОВА</t>
  </si>
  <si>
    <t>ЖАНДОСОВНА</t>
  </si>
  <si>
    <t>ШИНКАРЕНКО</t>
  </si>
  <si>
    <t>ПЕТРОВИЧ</t>
  </si>
  <si>
    <t>КАРИЙ</t>
  </si>
  <si>
    <t>ЕВГЕНИЯ</t>
  </si>
  <si>
    <t>МАГАМЕДОВА</t>
  </si>
  <si>
    <t>АЛИАННА</t>
  </si>
  <si>
    <t>РОМАНОВНА</t>
  </si>
  <si>
    <t>Лезгины</t>
  </si>
  <si>
    <t>[с лёгкими нарушениями интеллекта]</t>
  </si>
  <si>
    <t>ТЕМИРЖАНОВА</t>
  </si>
  <si>
    <t>АЙДАНА</t>
  </si>
  <si>
    <t>НАҒАШЫБЕКҚЫЗЫ</t>
  </si>
  <si>
    <t>УТЕУБАЕВ</t>
  </si>
  <si>
    <t>ЕРАСЫЛ</t>
  </si>
  <si>
    <t>ТАЛГАТОВИЧ</t>
  </si>
  <si>
    <t>КРАВЦОВА</t>
  </si>
  <si>
    <t>Золотая медаль</t>
  </si>
  <si>
    <t>2018-11-22T00:00:00</t>
  </si>
  <si>
    <t>ИНАРА</t>
  </si>
  <si>
    <t>ХАСЕНОВА</t>
  </si>
  <si>
    <t>АЛЬФИЯ</t>
  </si>
  <si>
    <t>АСХАТОВНА</t>
  </si>
  <si>
    <t>волейбольные, национальные игры</t>
  </si>
  <si>
    <t>Ниже черты бедности</t>
  </si>
  <si>
    <t>ЖАНАТОВИЧ</t>
  </si>
  <si>
    <t>АБДРАМАНОВА</t>
  </si>
  <si>
    <t>УЛЖАН</t>
  </si>
  <si>
    <t>НУРГАЛИЕВНА</t>
  </si>
  <si>
    <t>УМРАЛИНОВА</t>
  </si>
  <si>
    <t>АСКАРОВНА</t>
  </si>
  <si>
    <t>ОРАЛБЕК</t>
  </si>
  <si>
    <t>ӘДИЯ</t>
  </si>
  <si>
    <t>ӘДІЛҚЫЗЫ</t>
  </si>
  <si>
    <t>ЖАНАРБЕК</t>
  </si>
  <si>
    <t>ӘЛИХАН</t>
  </si>
  <si>
    <t>БАХЫТЖАНҰЛЫ</t>
  </si>
  <si>
    <t>САПАР</t>
  </si>
  <si>
    <t>ЯСМИН</t>
  </si>
  <si>
    <t>НҰРХАНҚЫЗЫ</t>
  </si>
  <si>
    <t>СИЛАЕВ</t>
  </si>
  <si>
    <t>ЮНИСОВ</t>
  </si>
  <si>
    <t>ТИГРАН</t>
  </si>
  <si>
    <t>ВЛАДИМИРОВИЧ</t>
  </si>
  <si>
    <t>Азербайджанцы</t>
  </si>
  <si>
    <t>ГАБДУЛЛИНА</t>
  </si>
  <si>
    <t>РАИЛЯ</t>
  </si>
  <si>
    <t>РАШИДОВНА</t>
  </si>
  <si>
    <t>СЕКСЕНБАЕВ</t>
  </si>
  <si>
    <t>АСАНАЛИ</t>
  </si>
  <si>
    <t>ЕРЛАНОВИЧ</t>
  </si>
  <si>
    <t>2019-02-08T00:00:00</t>
  </si>
  <si>
    <t>ҚОЖАГЕЛДІ</t>
  </si>
  <si>
    <t>САНСЫЗБАЙҚЫЗЫ</t>
  </si>
  <si>
    <t>СУЛЕЙМЕНОВА</t>
  </si>
  <si>
    <t>АЖАР</t>
  </si>
  <si>
    <t>КАЙРАТОВНА</t>
  </si>
  <si>
    <t>РОБЕРТ</t>
  </si>
  <si>
    <t>Чуваши</t>
  </si>
  <si>
    <t>ШОМАТ</t>
  </si>
  <si>
    <t>АЛТЫНБЕКҰЛЫ</t>
  </si>
  <si>
    <t>ДАНИЛОВА</t>
  </si>
  <si>
    <t>ЮРЬЕВНА</t>
  </si>
  <si>
    <t>ҚАЗБЕК</t>
  </si>
  <si>
    <t>ЕРАЛЫ</t>
  </si>
  <si>
    <t>ОЛЖАСҰЛЫ</t>
  </si>
  <si>
    <t>АЛЬТАИР</t>
  </si>
  <si>
    <t>МАХАМБЕТҰЛЫ</t>
  </si>
  <si>
    <t>СЕРІКБАЙ</t>
  </si>
  <si>
    <t>БЕЙБАРЫС</t>
  </si>
  <si>
    <t>ЖАНДӘУЛЕТҰЛЫ</t>
  </si>
  <si>
    <t>ЕСИМОВА</t>
  </si>
  <si>
    <t>ЕРИКОВНА</t>
  </si>
  <si>
    <t>АЯНАТ</t>
  </si>
  <si>
    <t>НАУПАДИНОВ</t>
  </si>
  <si>
    <t>АЙСУЛТАН</t>
  </si>
  <si>
    <t>МЕРАТОВИЧ</t>
  </si>
  <si>
    <t>КРАЕВОЙ</t>
  </si>
  <si>
    <t>САЛҚЫНБАЙ</t>
  </si>
  <si>
    <t>АРМАН</t>
  </si>
  <si>
    <t>ЕРІКЖАНҰЛЫ</t>
  </si>
  <si>
    <t>БАТЫРХАН</t>
  </si>
  <si>
    <t>АЗАМАТҰЛЫ</t>
  </si>
  <si>
    <t>ИМАН</t>
  </si>
  <si>
    <t>ДІЛНАЗ</t>
  </si>
  <si>
    <t>АМАНГЕЛДІҚЫЗЫ</t>
  </si>
  <si>
    <t>САПАРОВА</t>
  </si>
  <si>
    <t>ТЕМИРЛАНОВНА</t>
  </si>
  <si>
    <t>ФИЛИППОВ</t>
  </si>
  <si>
    <t>РОМАН</t>
  </si>
  <si>
    <t>ВЛАДИСЛАВОВИЧ</t>
  </si>
  <si>
    <t>РЫСБЕКОВА</t>
  </si>
  <si>
    <t>РҮСТЕМ</t>
  </si>
  <si>
    <t>ИСЛАМ ӘЛІ</t>
  </si>
  <si>
    <t>ӘЛІШЕРҰЛЫ</t>
  </si>
  <si>
    <t>ТЕМІРБЕК</t>
  </si>
  <si>
    <t>НУРАСЫЛ</t>
  </si>
  <si>
    <t>СКОСЫРСКАЯ</t>
  </si>
  <si>
    <t>ЕКАТЕРИНА</t>
  </si>
  <si>
    <t>БОРИСОВНА</t>
  </si>
  <si>
    <t>САДВОКАСОВ</t>
  </si>
  <si>
    <t>ХАМИТ</t>
  </si>
  <si>
    <t>ДОСХАНОВИЧ</t>
  </si>
  <si>
    <t>БОРАНБАЙ</t>
  </si>
  <si>
    <t>НҰРИСЛАМ</t>
  </si>
  <si>
    <t>МАМАТ</t>
  </si>
  <si>
    <t>АБАЙ</t>
  </si>
  <si>
    <t>МЕЛЕЩЕНКО</t>
  </si>
  <si>
    <t>ВАЛЕРИЙ</t>
  </si>
  <si>
    <t>МЕДВЕДЕВА</t>
  </si>
  <si>
    <t>ИНЕССА</t>
  </si>
  <si>
    <t>БЕЛИЦКАЯ</t>
  </si>
  <si>
    <t>КИРА</t>
  </si>
  <si>
    <t>ИГОРЕВНА</t>
  </si>
  <si>
    <t>КОСОВ</t>
  </si>
  <si>
    <t>РУСТЕМОВИЧ</t>
  </si>
  <si>
    <t>КАРИМОВ</t>
  </si>
  <si>
    <t>НУРСУЛТАН</t>
  </si>
  <si>
    <t>КАЛИЕВА</t>
  </si>
  <si>
    <t>АЙЛАНА</t>
  </si>
  <si>
    <t>МЕДЕТОВНА</t>
  </si>
  <si>
    <t>ВЫРОДОВА</t>
  </si>
  <si>
    <t>СОФЬЯ</t>
  </si>
  <si>
    <t>БУТАКОВА</t>
  </si>
  <si>
    <t>АФРИДАНОВ</t>
  </si>
  <si>
    <t>ТИМУР</t>
  </si>
  <si>
    <t>РЯЗАНОВА</t>
  </si>
  <si>
    <t>БЕАТРИС</t>
  </si>
  <si>
    <t>3, 4</t>
  </si>
  <si>
    <t>КУН</t>
  </si>
  <si>
    <t>КАРНАУХОВА</t>
  </si>
  <si>
    <t>ВИКТОРОВНА</t>
  </si>
  <si>
    <t>ГУСЕВА</t>
  </si>
  <si>
    <t>КСЕНИЯ</t>
  </si>
  <si>
    <t>БУЛАТОВ</t>
  </si>
  <si>
    <t>ЖАМИЕВ</t>
  </si>
  <si>
    <t>МАКСАТОВИЧ</t>
  </si>
  <si>
    <t>2022-01-14T00:00:00</t>
  </si>
  <si>
    <t>ДОСМАГАМБЕТОВА</t>
  </si>
  <si>
    <t>САБИНА</t>
  </si>
  <si>
    <t>ЕРМЕКОВНА</t>
  </si>
  <si>
    <t>АРЦЕР</t>
  </si>
  <si>
    <t>ӘЛТАЙЫР</t>
  </si>
  <si>
    <t>130-144</t>
  </si>
  <si>
    <t>ЧУРИЛОВА</t>
  </si>
  <si>
    <t>ОЛЕГОВНА</t>
  </si>
  <si>
    <t>Финны</t>
  </si>
  <si>
    <t>НАСРАДИНҚЫЗЫ</t>
  </si>
  <si>
    <t>АЙГИРА</t>
  </si>
  <si>
    <t>КЛИМЕНКО</t>
  </si>
  <si>
    <t>ПОЛИНА</t>
  </si>
  <si>
    <t>ЕРМЕКОВ</t>
  </si>
  <si>
    <t>НУРИСЛАМ</t>
  </si>
  <si>
    <t>ҚЫСТАУБАЙ</t>
  </si>
  <si>
    <t>АЗАМАТУЛЫ</t>
  </si>
  <si>
    <t>10 класс</t>
  </si>
  <si>
    <t>ШӘРБӘН</t>
  </si>
  <si>
    <t>ИВАНОВ</t>
  </si>
  <si>
    <t>ЗАЙЦЕВА</t>
  </si>
  <si>
    <t>ИЗО, футбольные</t>
  </si>
  <si>
    <t>ЧИРКОВА</t>
  </si>
  <si>
    <t>ДМИТРИЕВНА</t>
  </si>
  <si>
    <t>САҒАТ</t>
  </si>
  <si>
    <t>БЕКТАС</t>
  </si>
  <si>
    <t>ҚАЗБЕКҰЛЫ</t>
  </si>
  <si>
    <t>ЛЯШЕНКО</t>
  </si>
  <si>
    <t>ЕСОВА</t>
  </si>
  <si>
    <t>ЭЛЬМИРА</t>
  </si>
  <si>
    <t>ЕРХАНОВНА</t>
  </si>
  <si>
    <t>АХМЕТОВА</t>
  </si>
  <si>
    <t>АНЕЛИЯ</t>
  </si>
  <si>
    <t>ХАЛХАБАЙ</t>
  </si>
  <si>
    <t>НҰРБЕКҚЫЗЫ</t>
  </si>
  <si>
    <t>ЕРКЕБҰЛАНҚЫЗЫ</t>
  </si>
  <si>
    <t>НАЗЫМБЕКОВА</t>
  </si>
  <si>
    <t>ЛАУРА</t>
  </si>
  <si>
    <t>КАНАТОВНА</t>
  </si>
  <si>
    <t>МУКАТОВ</t>
  </si>
  <si>
    <t>МУКАТОВА</t>
  </si>
  <si>
    <t>МЕРЕЙ</t>
  </si>
  <si>
    <t>военно-патриотический</t>
  </si>
  <si>
    <t>АДУКАУСКАС</t>
  </si>
  <si>
    <t>Литовцы</t>
  </si>
  <si>
    <t>НАЙМАНОВА</t>
  </si>
  <si>
    <t>НАЙМАНОВ</t>
  </si>
  <si>
    <t>НУРЖИГИТ</t>
  </si>
  <si>
    <t>АРМАНОВИЧ</t>
  </si>
  <si>
    <t>4, 3, 3, 3, 3</t>
  </si>
  <si>
    <t>робототехника</t>
  </si>
  <si>
    <t>2023-10-16T00:00:00</t>
  </si>
  <si>
    <t>БАҚТИЯР</t>
  </si>
  <si>
    <t>ЕСИМОВ</t>
  </si>
  <si>
    <t>ЕРИКОВИЧ</t>
  </si>
  <si>
    <t>АЛДАМУРАТОВ</t>
  </si>
  <si>
    <t>АЛЬ-ФАРАБИ</t>
  </si>
  <si>
    <t>ГАЗИЕВИЧ</t>
  </si>
  <si>
    <t>АЛИМАНОВА</t>
  </si>
  <si>
    <t>АЙТБАЙ</t>
  </si>
  <si>
    <t>АЛИ</t>
  </si>
  <si>
    <t>АБЫЛАЙХАН</t>
  </si>
  <si>
    <t>РАСУЛҰЛЫ</t>
  </si>
  <si>
    <t>МУРАДАЛИЕВА</t>
  </si>
  <si>
    <t>БАХЫТ</t>
  </si>
  <si>
    <t>ДАУЛЕТОВНА</t>
  </si>
  <si>
    <t>ЖОМАБАЙ</t>
  </si>
  <si>
    <t>ТАГИР</t>
  </si>
  <si>
    <t>ЖАМБЫЛҰЛЫ</t>
  </si>
  <si>
    <t>ЕСТАУЛЕТОВА</t>
  </si>
  <si>
    <t>АИДА</t>
  </si>
  <si>
    <t>КАИРГЕЛЬДИЕВНА</t>
  </si>
  <si>
    <t>ЕРХАНҰЛЫ</t>
  </si>
  <si>
    <t>БАЙТАС</t>
  </si>
  <si>
    <t>СУХОВ</t>
  </si>
  <si>
    <t>АСАНОВ</t>
  </si>
  <si>
    <t>КАЛИЖАНОВИЧ</t>
  </si>
  <si>
    <t>ЭЛИНА</t>
  </si>
  <si>
    <t>АМАНБАЙҚЫЗЫ</t>
  </si>
  <si>
    <t>НАЗАРОВ</t>
  </si>
  <si>
    <t>ШЕРХАН</t>
  </si>
  <si>
    <t>ИМАМАЛИЕВИЧ</t>
  </si>
  <si>
    <t>ГҮЛІМ</t>
  </si>
  <si>
    <t>ГИЗЗАТОВА</t>
  </si>
  <si>
    <t>ЖАНАТОВНА</t>
  </si>
  <si>
    <t>АШИРБЕКОВА</t>
  </si>
  <si>
    <t>КАДИРХАНОВНА</t>
  </si>
  <si>
    <t>НУРГАЛИЕВ</t>
  </si>
  <si>
    <t>РЕНАТОВИЧ</t>
  </si>
  <si>
    <t>ЮСУПОВА</t>
  </si>
  <si>
    <t>ЕВАНГЕЛИНА</t>
  </si>
  <si>
    <t>СЕРЖАН</t>
  </si>
  <si>
    <t>КАЗАНЦЕВ</t>
  </si>
  <si>
    <t>БОЖЕДОМОВ</t>
  </si>
  <si>
    <t>ЖАББАРОВА</t>
  </si>
  <si>
    <t>ИЛЬГИЗОВНА</t>
  </si>
  <si>
    <t>ШАМБАРОВА</t>
  </si>
  <si>
    <t>ВАСИЛИСА</t>
  </si>
  <si>
    <t>3, 4, 3, 3, 4</t>
  </si>
  <si>
    <t>КАЛИЕВ</t>
  </si>
  <si>
    <t>РАХАТ</t>
  </si>
  <si>
    <t>МЕДЕТОВИЧ</t>
  </si>
  <si>
    <t>БАЛТАБАЕВ</t>
  </si>
  <si>
    <t>КАЙРАТОВИЧ</t>
  </si>
  <si>
    <t>САЛИМОВА</t>
  </si>
  <si>
    <t>ТОМИРИС</t>
  </si>
  <si>
    <t>НУРЛАНОВНА</t>
  </si>
  <si>
    <t>ВОРОТЫНЦЕВА</t>
  </si>
  <si>
    <t>НИКОЛАЕВНА</t>
  </si>
  <si>
    <t>АРАПБАЕВ</t>
  </si>
  <si>
    <t>ДІНИСЛАМ</t>
  </si>
  <si>
    <t>ЖАНДОСҰЛЫ</t>
  </si>
  <si>
    <t>АМАНГЕЛЬДИНОВ</t>
  </si>
  <si>
    <t>АЙДОСОВИЧ</t>
  </si>
  <si>
    <t>БЕЛИЦКИЙ</t>
  </si>
  <si>
    <t>ЕГОР</t>
  </si>
  <si>
    <t>ИГОРЕВИЧ</t>
  </si>
  <si>
    <t>АЛПЫСБАЕВА</t>
  </si>
  <si>
    <t>ӘМІР</t>
  </si>
  <si>
    <t>прибыл на дополнительное место с данного района (города, села)</t>
  </si>
  <si>
    <t>АББАСОВА</t>
  </si>
  <si>
    <t>ЭСМИНА</t>
  </si>
  <si>
    <t>АХАДОВНА</t>
  </si>
  <si>
    <t>ЮГАС</t>
  </si>
  <si>
    <t>ГАБРИЭЛЛА</t>
  </si>
  <si>
    <t>АРПАДОВНА</t>
  </si>
  <si>
    <t>Венгры</t>
  </si>
  <si>
    <t>МОЧАЛОВА</t>
  </si>
  <si>
    <t>РОКСАНА</t>
  </si>
  <si>
    <t>СЕМЁНОВНА</t>
  </si>
  <si>
    <t>БУЛАТОВА</t>
  </si>
  <si>
    <t>КАРОЛИНА</t>
  </si>
  <si>
    <t>СТОЛЯРОВА</t>
  </si>
  <si>
    <t>БЕКЖАН</t>
  </si>
  <si>
    <t>БЕРІКҰЛЫ</t>
  </si>
  <si>
    <t>ДЮСЕНОВА</t>
  </si>
  <si>
    <t>ДАНА</t>
  </si>
  <si>
    <t>2019-10-25T17:59:00</t>
  </si>
  <si>
    <t>ӘЛИЯ</t>
  </si>
  <si>
    <t>2019-10-25T18:03:00</t>
  </si>
  <si>
    <t>Июнь</t>
  </si>
  <si>
    <t>ИБРАЕВА</t>
  </si>
  <si>
    <t>АДИЯ</t>
  </si>
  <si>
    <t>РИЧАРД</t>
  </si>
  <si>
    <t>АРПАДОВИЧ</t>
  </si>
  <si>
    <t>ШАРИБЕК</t>
  </si>
  <si>
    <t>САНДИБЕКҚЫЗЫ</t>
  </si>
  <si>
    <t>ШАРБЕК</t>
  </si>
  <si>
    <t>ҰЛЖАН</t>
  </si>
  <si>
    <t>ЕСЕНБЕКҚЫЗЫ</t>
  </si>
  <si>
    <t>ДОСЩАНОВ</t>
  </si>
  <si>
    <t>НАРИМАН</t>
  </si>
  <si>
    <t>МАНАРБЕКОВИЧ</t>
  </si>
  <si>
    <t>ДОСЩАНОВА</t>
  </si>
  <si>
    <t>ЗАМИРА</t>
  </si>
  <si>
    <t>МАНАРБЕКОВНА</t>
  </si>
  <si>
    <t>СҰЛТАН</t>
  </si>
  <si>
    <t>АРМАНҰЛЫ</t>
  </si>
  <si>
    <t>0 класс</t>
  </si>
  <si>
    <t>МБ</t>
  </si>
  <si>
    <t>ӘДЕЛЯ</t>
  </si>
  <si>
    <t>РИЗНИЧЕНКО</t>
  </si>
  <si>
    <t>2019-01-15T00:00:00</t>
  </si>
  <si>
    <t>БЕРАЛИЕВА</t>
  </si>
  <si>
    <t>ТЕМИРЖАНОВ</t>
  </si>
  <si>
    <t>АЙДОС</t>
  </si>
  <si>
    <t>МАРАТОВИЧ</t>
  </si>
  <si>
    <t>СЕРИКОВА</t>
  </si>
  <si>
    <t>НУРАЙ</t>
  </si>
  <si>
    <t>ДУЙСЕНБАЙ</t>
  </si>
  <si>
    <t>ИСАТАЙ</t>
  </si>
  <si>
    <t>ИСМАГУЛОВ</t>
  </si>
  <si>
    <t>ХУДОЙНАЗАРОВ</t>
  </si>
  <si>
    <t>РУСТАМ</t>
  </si>
  <si>
    <t>НАБИДЖОНОВИЧ</t>
  </si>
  <si>
    <t>2019-11-15T16:03:00</t>
  </si>
  <si>
    <t>МУХАМЕДЖАНОВА</t>
  </si>
  <si>
    <t>2019-12-05T13:47:00</t>
  </si>
  <si>
    <t>ЖАМБЫЛҚЫЗЫ</t>
  </si>
  <si>
    <t>ЯРОШИК</t>
  </si>
  <si>
    <t>АБУБАКИРОВ</t>
  </si>
  <si>
    <t>КУНАНБАЙ</t>
  </si>
  <si>
    <t>АБЛАЙХАНОВИЧ</t>
  </si>
  <si>
    <t>АЛИМБЕРГЕНОВ</t>
  </si>
  <si>
    <t>КЕУЛІМЖАЙ</t>
  </si>
  <si>
    <t>ӘЛІБИ</t>
  </si>
  <si>
    <t>КАМИЛҰЛЫ</t>
  </si>
  <si>
    <t>ПАНАСЮК</t>
  </si>
  <si>
    <t>МИХАИЛ</t>
  </si>
  <si>
    <t>КСЕНОФОНТОВИЧ</t>
  </si>
  <si>
    <t>АЛИЕВА</t>
  </si>
  <si>
    <t>РАЙХАН</t>
  </si>
  <si>
    <t>АЛИБЕКОВНА</t>
  </si>
  <si>
    <t>ВАГАПОВ</t>
  </si>
  <si>
    <t>ИБРАГИМ</t>
  </si>
  <si>
    <t>АБУЕВИЧ</t>
  </si>
  <si>
    <t>Чеченцы</t>
  </si>
  <si>
    <t>2019-12-05T16:36:00</t>
  </si>
  <si>
    <t>АСХАТ</t>
  </si>
  <si>
    <t>ГАББАСОВА</t>
  </si>
  <si>
    <t>АКНУР</t>
  </si>
  <si>
    <t>АРНУРОВНА</t>
  </si>
  <si>
    <t>ЖАНАРЫС</t>
  </si>
  <si>
    <t>МЕЙРАМБЕКҰЛЫ</t>
  </si>
  <si>
    <t>НАЗГҮЛ</t>
  </si>
  <si>
    <t>МҰХИТДЕН</t>
  </si>
  <si>
    <t>АРЫСТАНҰЛЫ</t>
  </si>
  <si>
    <t>ГАЙСИНА</t>
  </si>
  <si>
    <t>эстрадный вокал, шахматно-шашечные</t>
  </si>
  <si>
    <t>платно, платно</t>
  </si>
  <si>
    <t>РАХИЛЬ</t>
  </si>
  <si>
    <t>АБДУЛЛАЕВА</t>
  </si>
  <si>
    <t>АЛИАНА</t>
  </si>
  <si>
    <t>ЮДАКОВА</t>
  </si>
  <si>
    <t>ЕВА</t>
  </si>
  <si>
    <t>2019-12-05T14:15:00</t>
  </si>
  <si>
    <t>УСИН</t>
  </si>
  <si>
    <t>КӘУСАР</t>
  </si>
  <si>
    <t>ӨМІРСЕРІК</t>
  </si>
  <si>
    <t>ДАСТАН</t>
  </si>
  <si>
    <t>МАКСИМОВИЧ</t>
  </si>
  <si>
    <t>2019-12-03T10:23:00</t>
  </si>
  <si>
    <t>ЧИРКОВ</t>
  </si>
  <si>
    <t>2019-12-05T14:12:00</t>
  </si>
  <si>
    <t>ДЯТЛОВ</t>
  </si>
  <si>
    <t>ХУЦАЕВ</t>
  </si>
  <si>
    <t>САЛАХУДДИНИСЛАМ</t>
  </si>
  <si>
    <t>АСЛАНОВИЧ</t>
  </si>
  <si>
    <t>КОЖАНБЕТОВА</t>
  </si>
  <si>
    <t>САНСЫЗБАЕВНА</t>
  </si>
  <si>
    <t>АЛМАЗ</t>
  </si>
  <si>
    <t>ПРЯДКО</t>
  </si>
  <si>
    <t>2019-12-05T13:18:00</t>
  </si>
  <si>
    <t>ГОРДИЕНКО</t>
  </si>
  <si>
    <t>ТАГАЙМУРАТОВ</t>
  </si>
  <si>
    <t>2019-12-05T12:33:00</t>
  </si>
  <si>
    <t>АДИЛОВ</t>
  </si>
  <si>
    <t>БЕКСУЛТАН</t>
  </si>
  <si>
    <t>НУРЖАНОВИЧ</t>
  </si>
  <si>
    <t>СЕРІКЖАН</t>
  </si>
  <si>
    <t>АНУАР</t>
  </si>
  <si>
    <t>НҰРЖАНҰЛЫ</t>
  </si>
  <si>
    <t>СӘТБЕК</t>
  </si>
  <si>
    <t>ӘМІРХАН</t>
  </si>
  <si>
    <t>АЛИХАНҰЛЫ</t>
  </si>
  <si>
    <t>БАЙМУРАТОВ</t>
  </si>
  <si>
    <t>РАСУЛ</t>
  </si>
  <si>
    <t>КУАТОВИЧ</t>
  </si>
  <si>
    <t>СМИРНОВА</t>
  </si>
  <si>
    <t>ИРИНА</t>
  </si>
  <si>
    <t>2019-12-05T12:32:00</t>
  </si>
  <si>
    <t>ЕРСЕИТОВА</t>
  </si>
  <si>
    <t>ЖАСМИН</t>
  </si>
  <si>
    <t>ЖЕНИСОВНА</t>
  </si>
  <si>
    <t>СӘБИТ</t>
  </si>
  <si>
    <t>ЖАНСЕЗІМ</t>
  </si>
  <si>
    <t>РҮСТЕМҚЫЗЫ</t>
  </si>
  <si>
    <t>РАМАЗАН</t>
  </si>
  <si>
    <t>ЕРЛАНҰЛЫ</t>
  </si>
  <si>
    <t>ЗАГОРОДНЕВ</t>
  </si>
  <si>
    <t>ПОНАМАРЕВА</t>
  </si>
  <si>
    <t>МАРИЯ</t>
  </si>
  <si>
    <t>ДОСБОЛ</t>
  </si>
  <si>
    <t>ХОНЫСБЕКҚЫЗЫ</t>
  </si>
  <si>
    <t>АМАНДЫКОВ</t>
  </si>
  <si>
    <t>БИГАЛИ</t>
  </si>
  <si>
    <t>ЕРКЕГАЛИЕВИЧ</t>
  </si>
  <si>
    <t>ШЕГЕБАЙ</t>
  </si>
  <si>
    <t>МЕЙРАМБЕК</t>
  </si>
  <si>
    <t>АРЛАНҰЛЫ</t>
  </si>
  <si>
    <t>ТОҚТАР</t>
  </si>
  <si>
    <t>ДАРХАНҚЫЗЫ</t>
  </si>
  <si>
    <t>2019-12-05T13:46:00</t>
  </si>
  <si>
    <t>УТЕУБАЕВА</t>
  </si>
  <si>
    <t>Районные</t>
  </si>
  <si>
    <t>2019-01-16T00:00:00</t>
  </si>
  <si>
    <t>ДЕГТЯРЕВА</t>
  </si>
  <si>
    <t>ЯРОСЛАВА</t>
  </si>
  <si>
    <t>ЕРДОСҚЫЗЫ</t>
  </si>
  <si>
    <t>народные танцы</t>
  </si>
  <si>
    <t>меньше прожиточного минимума</t>
  </si>
  <si>
    <t>из семей, не получающих государственную адресную социальную помощь, в которых среднедушевой доход ниже величины прожиточного минимума</t>
  </si>
  <si>
    <t>ЖАНАТ</t>
  </si>
  <si>
    <t>ЕРБОЛАТҰЛЫ</t>
  </si>
  <si>
    <t>БАКТИБАЕВА</t>
  </si>
  <si>
    <t>МИЛАНА</t>
  </si>
  <si>
    <t>ДЖАНОВНА</t>
  </si>
  <si>
    <t>АЙТЕН</t>
  </si>
  <si>
    <t>МИРАС</t>
  </si>
  <si>
    <t>ҚАНАТҰЛЫ</t>
  </si>
  <si>
    <t>ШАЙХУТДИНОВ</t>
  </si>
  <si>
    <t>ЭМИР</t>
  </si>
  <si>
    <t>ГАФУРОВИЧ</t>
  </si>
  <si>
    <t>АДАМ</t>
  </si>
  <si>
    <t>МУСА</t>
  </si>
  <si>
    <t>ЖАСҰЛАНҰЛЫ</t>
  </si>
  <si>
    <t>Серебряная медаль</t>
  </si>
  <si>
    <t>2019-10-25T13:15:00</t>
  </si>
  <si>
    <t>ИЩЕНКО</t>
  </si>
  <si>
    <t>АНЖЕЛИКА</t>
  </si>
  <si>
    <t>МАХМУДОВ</t>
  </si>
  <si>
    <t>АБЫЛАЕВИЧ</t>
  </si>
  <si>
    <t>УСЕРБАЕВ</t>
  </si>
  <si>
    <t>ЕЛДОС</t>
  </si>
  <si>
    <t>ЮБИЛЕЕВИЧ</t>
  </si>
  <si>
    <t>САФИЯ</t>
  </si>
  <si>
    <t>МЫРЗАБЕКҚЫЗЫ</t>
  </si>
  <si>
    <t>ЖАНАБАЙ</t>
  </si>
  <si>
    <t>АСХАТҰЛЫ</t>
  </si>
  <si>
    <t>ШӘРІБЕК</t>
  </si>
  <si>
    <t>ЖАНИБЕКҰЛЫ</t>
  </si>
  <si>
    <t>БУДРИС</t>
  </si>
  <si>
    <t>РАТМИР</t>
  </si>
  <si>
    <t>СМИРНОВ</t>
  </si>
  <si>
    <t>АСКАРОВ</t>
  </si>
  <si>
    <t>АЛИЕВИЧ</t>
  </si>
  <si>
    <t>НУРСИЛА</t>
  </si>
  <si>
    <t>НҰРҒОЖА</t>
  </si>
  <si>
    <t>ӘДІЛ</t>
  </si>
  <si>
    <t>МАНАРБЕКҰЛЫ</t>
  </si>
  <si>
    <t>Июль, Июль, Август</t>
  </si>
  <si>
    <t>с питанием, без питания, с питанием</t>
  </si>
  <si>
    <t>ЛОГИНОВСКИХ</t>
  </si>
  <si>
    <t>СТЕПАНОВИЧ</t>
  </si>
  <si>
    <t>ТӨЛЕУҒАЛИ</t>
  </si>
  <si>
    <t>АРМИНА</t>
  </si>
  <si>
    <t>ЕРҚАНАТҚЫЗЫ</t>
  </si>
  <si>
    <t>ТЛЕУБАЕВ</t>
  </si>
  <si>
    <t>МУРАТОВИЧ</t>
  </si>
  <si>
    <t>ДАХАН</t>
  </si>
  <si>
    <t>2019-12-05T13:25:00</t>
  </si>
  <si>
    <t>КОБЧЕНКО</t>
  </si>
  <si>
    <t>2019-12-05T13:12:00</t>
  </si>
  <si>
    <t>ЕСЛЯМ</t>
  </si>
  <si>
    <t>АЯЖАН</t>
  </si>
  <si>
    <t>ДУЛАТҚЫЗЫ</t>
  </si>
  <si>
    <t>5, 4</t>
  </si>
  <si>
    <t>2019-12-05T12:28:00</t>
  </si>
  <si>
    <t>БЕКХАН</t>
  </si>
  <si>
    <t>другие спортивные, шахматно-шашечные</t>
  </si>
  <si>
    <t>НУРТАЕВА</t>
  </si>
  <si>
    <t>БАКТИЯРОВНА</t>
  </si>
  <si>
    <t>НУРТАЕВ</t>
  </si>
  <si>
    <t>БАКТИЯРОВИЧ</t>
  </si>
  <si>
    <t>РАСИЛОВ</t>
  </si>
  <si>
    <t>БАЛГЫНБЕК</t>
  </si>
  <si>
    <t>БАУБЕКОВИЧ</t>
  </si>
  <si>
    <t>100-114</t>
  </si>
  <si>
    <t>ДАРЫН</t>
  </si>
  <si>
    <t>ТОКТЫБАЕВА</t>
  </si>
  <si>
    <t>АЛМАТКЫЗЫ</t>
  </si>
  <si>
    <t>ИМАНМАДИ</t>
  </si>
  <si>
    <t>АДИЛЯ</t>
  </si>
  <si>
    <t>УМИРБЕК</t>
  </si>
  <si>
    <t>МАНСУР</t>
  </si>
  <si>
    <t>БАХТБЕКҰЛЫ</t>
  </si>
  <si>
    <t>2019-12-05T13:24:00</t>
  </si>
  <si>
    <t>МУЗАФАРОВНА</t>
  </si>
  <si>
    <t>вышивка</t>
  </si>
  <si>
    <t>2019-11-15T13:23:00</t>
  </si>
  <si>
    <t>ТЕМІРЖАН</t>
  </si>
  <si>
    <t>РАШИТ</t>
  </si>
  <si>
    <t>АСАНӘЛІ</t>
  </si>
  <si>
    <t>АСЛАНҰЛЫ</t>
  </si>
  <si>
    <t>25-39</t>
  </si>
  <si>
    <t>Июль, Август, Июнь</t>
  </si>
  <si>
    <t>без питания, без питания, с питанием</t>
  </si>
  <si>
    <t>АБДИЛЬМАНОВ</t>
  </si>
  <si>
    <t>ПЛАН</t>
  </si>
  <si>
    <t>АЙТУГАНОВНА</t>
  </si>
  <si>
    <t>ЖАЙЫЛХАН</t>
  </si>
  <si>
    <t>2019-12-05T14:10:00</t>
  </si>
  <si>
    <t>АЙТБАТЫРОВА</t>
  </si>
  <si>
    <t>БЕКАРЫС</t>
  </si>
  <si>
    <t>НЕДОСЕКОВА</t>
  </si>
  <si>
    <t>ТОЯН</t>
  </si>
  <si>
    <t>КСЕНЗЕНКО</t>
  </si>
  <si>
    <t>2019-12-05T14:09:00</t>
  </si>
  <si>
    <t>АЗАМАТОВНА</t>
  </si>
  <si>
    <t>2019-12-05T16:02:00</t>
  </si>
  <si>
    <t>МАРТЫНОВА</t>
  </si>
  <si>
    <t>АНГЕЛИНА</t>
  </si>
  <si>
    <t>2019-11-15T16:01:00</t>
  </si>
  <si>
    <t>КАРПОВА</t>
  </si>
  <si>
    <t>ГЕННАДЬЕВНА</t>
  </si>
  <si>
    <t>АБДУИСЛАМ</t>
  </si>
  <si>
    <t>МИХАЙЛОВ</t>
  </si>
  <si>
    <t>ЛИ</t>
  </si>
  <si>
    <t>АРТУРОВНА</t>
  </si>
  <si>
    <t>Корейцы</t>
  </si>
  <si>
    <t>4, 5, 5, 4, 5</t>
  </si>
  <si>
    <t>ШАРБЕКОВА</t>
  </si>
  <si>
    <t>ПЕРИЗАТ</t>
  </si>
  <si>
    <t>ЕСЕНБЕКОВНА</t>
  </si>
  <si>
    <t>ДІЛМАН</t>
  </si>
  <si>
    <t>РОЗА</t>
  </si>
  <si>
    <t>МАХМУТҚЫЗЫ</t>
  </si>
  <si>
    <t>4, 5, 5, 4, 4</t>
  </si>
  <si>
    <t>РЕНАТ</t>
  </si>
  <si>
    <t>КОЧЕРГА</t>
  </si>
  <si>
    <t>БОРИСОВ</t>
  </si>
  <si>
    <t>ВАДИМОВИЧ</t>
  </si>
  <si>
    <t>КУВАТБАЕВ</t>
  </si>
  <si>
    <t>ТАЛГАТ</t>
  </si>
  <si>
    <t>БЕКМУРОДОВИЧ</t>
  </si>
  <si>
    <t>МЕДЕТ</t>
  </si>
  <si>
    <t>ЕРНҰРҰЛЫ</t>
  </si>
  <si>
    <t>УӘЙІС</t>
  </si>
  <si>
    <t>СҮЙІНДІКҰЛЫ</t>
  </si>
  <si>
    <t>БЕЛЯЕВ</t>
  </si>
  <si>
    <t>2019-12-05T16:33:00</t>
  </si>
  <si>
    <t>САФРОНОВА</t>
  </si>
  <si>
    <t>РЕХНЮК</t>
  </si>
  <si>
    <t>СКРЫННИК</t>
  </si>
  <si>
    <t>УСМАН</t>
  </si>
  <si>
    <t>ЖАСУЛАНҰЛЫ</t>
  </si>
  <si>
    <t>КАРАМЫШЕВА</t>
  </si>
  <si>
    <t>ЖАСМАНОВНА</t>
  </si>
  <si>
    <t>ТҰРҒАЛИ</t>
  </si>
  <si>
    <t>ЖАНБОЛАТ</t>
  </si>
  <si>
    <t>БАУЫРЖАНҰЛЫ</t>
  </si>
  <si>
    <t>ТІЛЕУЛЕС</t>
  </si>
  <si>
    <t>АРАЙЛЫМ</t>
  </si>
  <si>
    <t>БОТАҚЫЗЫ</t>
  </si>
  <si>
    <t>ЖЕНИСБЕК</t>
  </si>
  <si>
    <t>НАЗЫМБЕКОВ</t>
  </si>
  <si>
    <t>НАЗЫМХАН</t>
  </si>
  <si>
    <t>ТУЛЕУВА</t>
  </si>
  <si>
    <t>ШАХНОЗА</t>
  </si>
  <si>
    <t>САЯНОВНА</t>
  </si>
  <si>
    <t>МАКОВЕЕВА</t>
  </si>
  <si>
    <t>4, 5, 4, 5, 5</t>
  </si>
  <si>
    <t>2019-11-15T12:59:00</t>
  </si>
  <si>
    <t>КРЫЛОВА</t>
  </si>
  <si>
    <t>КОЛЬЦОВ</t>
  </si>
  <si>
    <t>2019-11-15T16:00:00</t>
  </si>
  <si>
    <t>без питания, без питания, без питания</t>
  </si>
  <si>
    <t>ГИЗАТОВ</t>
  </si>
  <si>
    <t>ВИКТОР</t>
  </si>
  <si>
    <t>ДАМИРОВИЧ</t>
  </si>
  <si>
    <t>МАКСИМЕЙКО</t>
  </si>
  <si>
    <t>ЖУМАТАЕВА</t>
  </si>
  <si>
    <t>АКБОТА</t>
  </si>
  <si>
    <t>2023-05-04T00:00:00</t>
  </si>
  <si>
    <t>ТЕМИРБУЛАТОВ</t>
  </si>
  <si>
    <t>ЧЕРНОЖУКОВА</t>
  </si>
  <si>
    <t>ПРОЛУБНИКОВ</t>
  </si>
  <si>
    <t>БОРЩЁВ</t>
  </si>
  <si>
    <t>САМАРХАНОВ</t>
  </si>
  <si>
    <t>КУАНЫШЕВИЧ</t>
  </si>
  <si>
    <t>2019-12-05T13:22:00</t>
  </si>
  <si>
    <t>с питанием</t>
  </si>
  <si>
    <t>МАРКС</t>
  </si>
  <si>
    <t>ЭЛЬБРУСҰЛЫ</t>
  </si>
  <si>
    <t>БЕГАЛИНА</t>
  </si>
  <si>
    <t>СУЛТАНОВНА</t>
  </si>
  <si>
    <t>АЛИМКАЙДАРОВА</t>
  </si>
  <si>
    <t>ЛЕКЕР</t>
  </si>
  <si>
    <t>2019-12-05T13:07:00</t>
  </si>
  <si>
    <t>СЕИТБЕКОВ</t>
  </si>
  <si>
    <t>САЯН</t>
  </si>
  <si>
    <t>АЛГАБЕКОВИЧ</t>
  </si>
  <si>
    <t>ГАЛКИНА</t>
  </si>
  <si>
    <t>АЙСУЛУ</t>
  </si>
  <si>
    <t>2019-11-15T13:21:00</t>
  </si>
  <si>
    <t>МИХЕЛЬ</t>
  </si>
  <si>
    <t>НЕВСТРУЕВА</t>
  </si>
  <si>
    <t>НИЧЕПОРУК</t>
  </si>
  <si>
    <t>АРТУРОВИЧ</t>
  </si>
  <si>
    <t>АРЫСТАНБЕКОВ</t>
  </si>
  <si>
    <t>СУЛТАНБЕК</t>
  </si>
  <si>
    <t>ДАНИЯРОВИЧ</t>
  </si>
  <si>
    <t>КОСБАРМАКОВА</t>
  </si>
  <si>
    <t>АЯЛА</t>
  </si>
  <si>
    <t>АРЫСТАНҚЫЗЫ</t>
  </si>
  <si>
    <t>АҚЫЛБЕКОВА</t>
  </si>
  <si>
    <t>ЖАНИЯ</t>
  </si>
  <si>
    <t>ИСМАГИЛОВА</t>
  </si>
  <si>
    <t>2019-11-15T10:53:00</t>
  </si>
  <si>
    <t>ЕВЛОЕВ</t>
  </si>
  <si>
    <t>Ингуши</t>
  </si>
  <si>
    <t>ДРОБКОВ</t>
  </si>
  <si>
    <t>4, 3</t>
  </si>
  <si>
    <t>2019-12-05T12:25:00</t>
  </si>
  <si>
    <t>КРУПКЕ</t>
  </si>
  <si>
    <t>2019-12-05T17:20:00</t>
  </si>
  <si>
    <t>МОНАХОВ</t>
  </si>
  <si>
    <t>ТОКАРЕВА</t>
  </si>
  <si>
    <t>АРКАДЬЕВНА</t>
  </si>
  <si>
    <t>Конкурс, Олимпиада , Конкурс</t>
  </si>
  <si>
    <t>Научное, Предметное, Творческое</t>
  </si>
  <si>
    <t>Городские, Международные, Городские</t>
  </si>
  <si>
    <t>Грамота, нет,  Грамота</t>
  </si>
  <si>
    <t>2019-11-15T16:29:00, 2019-12-05T16:29:00, 2019-10-25T16:29:00</t>
  </si>
  <si>
    <t>ЭЖЕН</t>
  </si>
  <si>
    <t>ВИНОГРАДОВА</t>
  </si>
  <si>
    <t>2019-12-05T13:35:00</t>
  </si>
  <si>
    <t>ДРОЗДОВ</t>
  </si>
  <si>
    <t>ВАСИЛОВА</t>
  </si>
  <si>
    <t>ЛИПСКАЯ</t>
  </si>
  <si>
    <t>ЕЛЕНА</t>
  </si>
  <si>
    <t>БАЛЖАН</t>
  </si>
  <si>
    <t>БЕРІКҚЫЗЫ</t>
  </si>
  <si>
    <t>Олимпиада , Олимпиада , Другое</t>
  </si>
  <si>
    <t>Предметное, Предметное, Научное</t>
  </si>
  <si>
    <t>Международные, Республиканские, Городские</t>
  </si>
  <si>
    <t>Грамота,  Грамота,  Грамота</t>
  </si>
  <si>
    <t>2019-12-05T15:57:00, 2019-11-15T15:57:00, 2019-11-15T15:57:00</t>
  </si>
  <si>
    <t>ГИЗЗАТОВ</t>
  </si>
  <si>
    <t>СУЛТАН</t>
  </si>
  <si>
    <t>5, 4, 4, 4, 4</t>
  </si>
  <si>
    <t>АКЫЛБЕКОВ</t>
  </si>
  <si>
    <t>БЕКБОЛАТ</t>
  </si>
  <si>
    <t>БАКЫТЖАНОВИЧ</t>
  </si>
  <si>
    <t>БАЙБОРАН</t>
  </si>
  <si>
    <t>БЕКСҰЛТАН</t>
  </si>
  <si>
    <t>МАНИБЕКҰЛЫ</t>
  </si>
  <si>
    <t>2019-12-05T18:13:00</t>
  </si>
  <si>
    <t>МАШТАЙ</t>
  </si>
  <si>
    <t>ҒАБИТҰЛЫ</t>
  </si>
  <si>
    <t>5, 5, 5, 4, 5</t>
  </si>
  <si>
    <t>2019-11-15T13:53:00</t>
  </si>
  <si>
    <t>ДАНИЯРОВНА</t>
  </si>
  <si>
    <t>БАУЫРЖАН</t>
  </si>
  <si>
    <t>АЛЁНА</t>
  </si>
  <si>
    <t>САҒИНДУЛЛА</t>
  </si>
  <si>
    <t>ДАНИЯЛ</t>
  </si>
  <si>
    <t>НҰРЛАНҰЛЫ</t>
  </si>
  <si>
    <t>Олимпиада , Конкурс</t>
  </si>
  <si>
    <t>Предметное, Творческое</t>
  </si>
  <si>
    <t>Грамота,  Грамота</t>
  </si>
  <si>
    <t>2019-11-15T10:51:00, 2019-11-15T10:51:00</t>
  </si>
  <si>
    <t>ЛЕПП</t>
  </si>
  <si>
    <t>ТЕТЕРЮК</t>
  </si>
  <si>
    <t>ЭВЕЛИНА</t>
  </si>
  <si>
    <t>Предметное, Предметное, Творческое</t>
  </si>
  <si>
    <t>Республиканские, Республиканские, Республиканские</t>
  </si>
  <si>
    <t>2019-11-15T10:50:00, 2019-11-15T10:50:00, 2019-12-05T10:50:00</t>
  </si>
  <si>
    <t>ЛАЗУКОВА</t>
  </si>
  <si>
    <t>2019-11-15T12:54:00</t>
  </si>
  <si>
    <t>КОВАЛЬЧУК</t>
  </si>
  <si>
    <t>2019-11-15T17:19:00</t>
  </si>
  <si>
    <t>КОСОБРЮХОВ</t>
  </si>
  <si>
    <t>ЯНОВИЧ</t>
  </si>
  <si>
    <t>ЗАГОРУЛЬКО</t>
  </si>
  <si>
    <t>2019-12-05T16:28:00</t>
  </si>
  <si>
    <t>САМАРХАНОВА</t>
  </si>
  <si>
    <t>2019-12-05T17:18:00</t>
  </si>
  <si>
    <t>БОЙКО</t>
  </si>
  <si>
    <t>АРСЕНИЙ</t>
  </si>
  <si>
    <t>ИЛЬИЧ</t>
  </si>
  <si>
    <t>2019-11-15T12:52:00</t>
  </si>
  <si>
    <t>ЗВЯГИН</t>
  </si>
  <si>
    <t>НИКОЛАЙ</t>
  </si>
  <si>
    <t>ЧЕРНИЛОВСКАЯ</t>
  </si>
  <si>
    <t>МАХАН</t>
  </si>
  <si>
    <t>СЕРИКБАЙҰЛЫ</t>
  </si>
  <si>
    <t>2019-11-15T12:50:00</t>
  </si>
  <si>
    <t>ПЕТРОВА</t>
  </si>
  <si>
    <t>ЛАЗАРЕВ</t>
  </si>
  <si>
    <t>АРТЕМ</t>
  </si>
  <si>
    <t>2019-11-15T10:49:00, 2019-11-15T10:49:00</t>
  </si>
  <si>
    <t>ДЕРЯГИН</t>
  </si>
  <si>
    <t>ДИЛЬМАНОВ</t>
  </si>
  <si>
    <t>МАХМУТОВИЧ</t>
  </si>
  <si>
    <t>3, 4, 4, 3, 3</t>
  </si>
  <si>
    <t>БЕКТЕМИР</t>
  </si>
  <si>
    <t>2019-12-05T11:14:00</t>
  </si>
  <si>
    <t>ШЕРЕР</t>
  </si>
  <si>
    <t>2019-11-15T15:55:00</t>
  </si>
  <si>
    <t>САГНАЕВНА</t>
  </si>
  <si>
    <t>ТЕЛЫШЕВ</t>
  </si>
  <si>
    <t>ДІНАЛИ</t>
  </si>
  <si>
    <t>ИМАМАЛИҰЛЫ</t>
  </si>
  <si>
    <t>ТРУШКИНА</t>
  </si>
  <si>
    <t>сиротам и детям, оставшимся без попечения родителей, проживающим в семьях</t>
  </si>
  <si>
    <t>ДОЛЖЕНКО</t>
  </si>
  <si>
    <t>2019-12-05T17:15:00</t>
  </si>
  <si>
    <t>ВОЛКОВ</t>
  </si>
  <si>
    <t>БУЛАНОВ</t>
  </si>
  <si>
    <t>ВЛАДИМИР</t>
  </si>
  <si>
    <t>АБИШЕВА</t>
  </si>
  <si>
    <t>МАКСАТОВНА</t>
  </si>
  <si>
    <t>2019-12-05T13:34:00</t>
  </si>
  <si>
    <t>ЛАВРИК</t>
  </si>
  <si>
    <t>ФАЛЬКИНШТЕРН</t>
  </si>
  <si>
    <t>БЕЙСЕМБЕКОВ</t>
  </si>
  <si>
    <t>ДИНМУХАММЕДОВИЧ</t>
  </si>
  <si>
    <t>РОМАСЬ</t>
  </si>
  <si>
    <t>ЕГОРОВИЧ</t>
  </si>
  <si>
    <t>ЗАРЕЕВА</t>
  </si>
  <si>
    <t>ГОРШКОВА</t>
  </si>
  <si>
    <t>ВАЛЕРИЕВНА</t>
  </si>
  <si>
    <t>ТУРСЫНОВ</t>
  </si>
  <si>
    <t>ЭЛЬДАР</t>
  </si>
  <si>
    <t>БАЙРАМОВИЧ</t>
  </si>
  <si>
    <t>Каракалпаки</t>
  </si>
  <si>
    <t>ЦЫНГОВАТОВ</t>
  </si>
  <si>
    <t>КОНСТАНТИНОВИЧ</t>
  </si>
  <si>
    <t>Август, Июль, Июнь</t>
  </si>
  <si>
    <t>другой пришкольный лагерь, другой пришкольный лагерь, другой пришкольный лагерь</t>
  </si>
  <si>
    <t>ЗАБЛОТСКИЙ</t>
  </si>
  <si>
    <t>ЖЕТПЫС</t>
  </si>
  <si>
    <t>ПЕРФИЛЬЕВ</t>
  </si>
  <si>
    <t>АНДРЕЙ</t>
  </si>
  <si>
    <t>КУЗЬМИНОВА</t>
  </si>
  <si>
    <t>ЭСКЕНОВ</t>
  </si>
  <si>
    <t>МАДИ</t>
  </si>
  <si>
    <t>ЕРБОЛОВИЧ</t>
  </si>
  <si>
    <t>РУДАЯ</t>
  </si>
  <si>
    <t>ЖАРАСПАЕВ</t>
  </si>
  <si>
    <t>АМАНГЕЛЬДЫУЛЫ</t>
  </si>
  <si>
    <t>ЖАРАСПАЕВА</t>
  </si>
  <si>
    <t>ЖАНЕЛЬ</t>
  </si>
  <si>
    <t>АМАНГЕЛЬДИЕВНА</t>
  </si>
  <si>
    <t>АЛМАХАНОВ</t>
  </si>
  <si>
    <t>МАКСАД</t>
  </si>
  <si>
    <t>ГАРДЕЙ</t>
  </si>
  <si>
    <t>ПОЛТОРАЦКАЯ</t>
  </si>
  <si>
    <t>КРАМОРЕНКО</t>
  </si>
  <si>
    <t>СТАНИСЛАВОВИЧ</t>
  </si>
  <si>
    <t>ЕРНҰР</t>
  </si>
  <si>
    <t>ГАЙСИН</t>
  </si>
  <si>
    <t>РАМИН</t>
  </si>
  <si>
    <t>ТОЛГАНАЙ</t>
  </si>
  <si>
    <t>АҒЗАМ</t>
  </si>
  <si>
    <t>МАХОРИН</t>
  </si>
  <si>
    <t>КАПИЗОВА</t>
  </si>
  <si>
    <t>АДЕЛЬ</t>
  </si>
  <si>
    <t>АРДАКОВНА</t>
  </si>
  <si>
    <t>4, 4, 5, 4, 4</t>
  </si>
  <si>
    <t>МАЛОЛЕТКОВ</t>
  </si>
  <si>
    <t>ФЕДОРОВИЧ</t>
  </si>
  <si>
    <t>ШЫҢҒЫС</t>
  </si>
  <si>
    <t>Другое, Конкурс</t>
  </si>
  <si>
    <t>На уровне данной организации, Республиканские</t>
  </si>
  <si>
    <t>нет, Диплом</t>
  </si>
  <si>
    <t>2021-06-01T00:00:00, 2023-10-23T00:00:00</t>
  </si>
  <si>
    <t>ПАК</t>
  </si>
  <si>
    <t>ШУМИЛОВА</t>
  </si>
  <si>
    <t>ВЛАДИСЛАВОВНА</t>
  </si>
  <si>
    <t>2020-01-13T22:40:00</t>
  </si>
  <si>
    <t>АСЕЛ</t>
  </si>
  <si>
    <t>КИНДЯШОВ</t>
  </si>
  <si>
    <t>КУБЕГЕНОВА</t>
  </si>
  <si>
    <t>ЕСТАЙЕВНА</t>
  </si>
  <si>
    <t>КИРИЛЬЧЕНКО</t>
  </si>
  <si>
    <t>АРТЁМОВИЧ</t>
  </si>
  <si>
    <t>ҚАЙРБЕК</t>
  </si>
  <si>
    <t>ӘЛЖАНА</t>
  </si>
  <si>
    <t>САЙРАНБЕКҚЫЗЫ</t>
  </si>
  <si>
    <t>2022-03-01T00:00:00</t>
  </si>
  <si>
    <t>ФЁДОРОВИЧ</t>
  </si>
  <si>
    <t>2021-03-15T00:00:00</t>
  </si>
  <si>
    <t>АБДУКАРИМ</t>
  </si>
  <si>
    <t>АЛИ МУРАД</t>
  </si>
  <si>
    <t>МУГДАТОГЛЫ</t>
  </si>
  <si>
    <t>Турки</t>
  </si>
  <si>
    <t>ЕРНАР</t>
  </si>
  <si>
    <t>ӘЛИНҰР</t>
  </si>
  <si>
    <t>БЕЙЕМБЕТҰЛЫ</t>
  </si>
  <si>
    <t>МАХДИ</t>
  </si>
  <si>
    <t>ПУШКАРЁВА</t>
  </si>
  <si>
    <t>НУРЛАНҰЛЫ</t>
  </si>
  <si>
    <t>СУИНДЫКОВ</t>
  </si>
  <si>
    <t>АМИРХАН</t>
  </si>
  <si>
    <t>АЛМАСОВИЧ</t>
  </si>
  <si>
    <t>ЧУМАКОВ</t>
  </si>
  <si>
    <t>ЖАКИИНОВ</t>
  </si>
  <si>
    <t>АЛМАС</t>
  </si>
  <si>
    <t>ТАЛГАТУЛЫ</t>
  </si>
  <si>
    <t>Математика, Физика, Химия, Биология, География, Информатика</t>
  </si>
  <si>
    <t>3, 3, 3, 3, 4, 3</t>
  </si>
  <si>
    <t>ХАМЗА</t>
  </si>
  <si>
    <t>ЖАСУЛАНУЛЫ</t>
  </si>
  <si>
    <t>ЖУСУПКЫЗЫ</t>
  </si>
  <si>
    <t>КРЮЧКОВА</t>
  </si>
  <si>
    <t>2019-10-25T17:50:00</t>
  </si>
  <si>
    <t>ЛАЗАРЕВА</t>
  </si>
  <si>
    <t>ЛОПАДИНА</t>
  </si>
  <si>
    <t>МЕТЛИН</t>
  </si>
  <si>
    <t>ПУШКИНА</t>
  </si>
  <si>
    <t>ПАВЛОВНА</t>
  </si>
  <si>
    <t>2019-10-25T17:51:00</t>
  </si>
  <si>
    <t>САВЕЛЬЕВА</t>
  </si>
  <si>
    <t>ТАКИЕВ</t>
  </si>
  <si>
    <t>МУХМАТОВИЧ</t>
  </si>
  <si>
    <t>2019-10-25T17:52:00</t>
  </si>
  <si>
    <t>ЮХМАН</t>
  </si>
  <si>
    <t>АБРАЕВ</t>
  </si>
  <si>
    <t>МИРБОЛАТОВИЧ</t>
  </si>
  <si>
    <t>БАРАНОВ</t>
  </si>
  <si>
    <t>ВАДИМ</t>
  </si>
  <si>
    <t>ВАЛЕРИЕВИЧ</t>
  </si>
  <si>
    <t>2019-01-29T17:13:00</t>
  </si>
  <si>
    <t>ВИНИЧЕНКО</t>
  </si>
  <si>
    <t>ЛУКПАНОВА</t>
  </si>
  <si>
    <t>ЕРКЕНОВНА</t>
  </si>
  <si>
    <t>ВЕРЯСКИНА</t>
  </si>
  <si>
    <t>ВОЛКОВА</t>
  </si>
  <si>
    <t>ВАЛЕРИЯ</t>
  </si>
  <si>
    <t>СЕМЕНОВНА</t>
  </si>
  <si>
    <t>БАЛТАБАЙ</t>
  </si>
  <si>
    <t>РАУАН</t>
  </si>
  <si>
    <t>ДАУРЕНБЕКҰЛЫ</t>
  </si>
  <si>
    <t>ЖАНАБАЕВ</t>
  </si>
  <si>
    <t>АРШАТ</t>
  </si>
  <si>
    <t>АСХАТУЛЫ</t>
  </si>
  <si>
    <t>СТУКАЛОВА</t>
  </si>
  <si>
    <t>ЭДУАРДОВНА</t>
  </si>
  <si>
    <t>ГУЛЬДЕН</t>
  </si>
  <si>
    <t>РУСЛАНКЫЗЫ</t>
  </si>
  <si>
    <t>2019-12-12T00:00:00</t>
  </si>
  <si>
    <t>ЗАСИМЕНКО</t>
  </si>
  <si>
    <t>БУТАКОВ</t>
  </si>
  <si>
    <t>ЕРМИЛОВ</t>
  </si>
  <si>
    <t>ИБРАЕВ</t>
  </si>
  <si>
    <t>ТАГАЙМУРАТОВА</t>
  </si>
  <si>
    <t>АНДРЕЕВ</t>
  </si>
  <si>
    <t>АФАНАСЬЕВ</t>
  </si>
  <si>
    <t>СЕМЕНЧЕНКО</t>
  </si>
  <si>
    <t>БУДЫЛЬСКАЯ</t>
  </si>
  <si>
    <t>ЕРАСТОВА</t>
  </si>
  <si>
    <t>АВВАЛЬ</t>
  </si>
  <si>
    <t>ЛОПЕНКОВА</t>
  </si>
  <si>
    <t>ЭДИК</t>
  </si>
  <si>
    <t>Не установлено</t>
  </si>
  <si>
    <t>АИША</t>
  </si>
  <si>
    <t>ЖАНСЕЗИМ</t>
  </si>
  <si>
    <t>СУЙИНДИКОВНА</t>
  </si>
  <si>
    <t>УТУБАЕВ</t>
  </si>
  <si>
    <t>ХАЛЧЕВСКАЯ</t>
  </si>
  <si>
    <t>АЙДОСҚЫЗЫ</t>
  </si>
  <si>
    <t>РАЯНА</t>
  </si>
  <si>
    <t>БОРИСОВА</t>
  </si>
  <si>
    <t>РАБИЯ</t>
  </si>
  <si>
    <t>НУРСУЛТАНОВНА</t>
  </si>
  <si>
    <t>ХАДИЯ</t>
  </si>
  <si>
    <t>ЖУМАШЕВ</t>
  </si>
  <si>
    <t>АРЫСТАН</t>
  </si>
  <si>
    <t>АСКАРҰЛЫ</t>
  </si>
  <si>
    <t>ЖУМАШЕВА</t>
  </si>
  <si>
    <t>больше прожиточного минимума</t>
  </si>
  <si>
    <t>КУАНЫШПАЕВ</t>
  </si>
  <si>
    <t>САИД</t>
  </si>
  <si>
    <t>ЖАСЛАНОВИЧ</t>
  </si>
  <si>
    <t>НҰРСҰЛТАНҰЛЫ</t>
  </si>
  <si>
    <t>СЕКЕРҒАЛИ</t>
  </si>
  <si>
    <t>САНАТҚЫЗЫ</t>
  </si>
  <si>
    <t>ЖАНАТҚЫЗЫ</t>
  </si>
  <si>
    <t>АЙДАХАР</t>
  </si>
  <si>
    <t>АЙДАР</t>
  </si>
  <si>
    <t>АДИЛЕТҰЛЫ</t>
  </si>
  <si>
    <t>АБУАСҚАР</t>
  </si>
  <si>
    <t>НҰРБЕКҰЛЫ</t>
  </si>
  <si>
    <t>ЗЕЙНОЛЛА</t>
  </si>
  <si>
    <t>БОКОНҰЛЫ</t>
  </si>
  <si>
    <t>ЖҰМАШ</t>
  </si>
  <si>
    <t>ЖАНДОС</t>
  </si>
  <si>
    <t>МЕЙРАМҰЛЫ</t>
  </si>
  <si>
    <t>ШАКЕНОВ</t>
  </si>
  <si>
    <t>НАЗИРА</t>
  </si>
  <si>
    <t>МЕЙІРЖАН</t>
  </si>
  <si>
    <t>ЧАРАПИЕВА</t>
  </si>
  <si>
    <t>РОЗАЛИЯ</t>
  </si>
  <si>
    <t>Естествознание, Математика</t>
  </si>
  <si>
    <t>ЧАРАПИЕВ</t>
  </si>
  <si>
    <t>ЕМЕЛЬЯНОВА</t>
  </si>
  <si>
    <t>ЗЛАТА</t>
  </si>
  <si>
    <t>СТЕПАНОВНА</t>
  </si>
  <si>
    <t>КУРМАНАЕВ</t>
  </si>
  <si>
    <t>КУСАИНОВ</t>
  </si>
  <si>
    <t>АЛМЫЗ</t>
  </si>
  <si>
    <t>АДІЛХАНҚЫЗЫ</t>
  </si>
  <si>
    <t>другие танцы, театральный</t>
  </si>
  <si>
    <t>СЕРИКБАЕВ</t>
  </si>
  <si>
    <t>АБИЛЬМАНСУР</t>
  </si>
  <si>
    <t>БЕКЗАТОВИЧ</t>
  </si>
  <si>
    <t>Бронзовая медаль</t>
  </si>
  <si>
    <t>2020-02-26T10:01:00</t>
  </si>
  <si>
    <t>ЯҚИЯ</t>
  </si>
  <si>
    <t>ЖАНИБЕКҚЫЗЫ</t>
  </si>
  <si>
    <t>2023-10-16T00:00:00, 2023-10-23T00:00:00</t>
  </si>
  <si>
    <t>ЖАРТУШЕНОВА</t>
  </si>
  <si>
    <t>ИСМАГУЛОВНА</t>
  </si>
  <si>
    <t>ОЛЕГ</t>
  </si>
  <si>
    <t>МАРИНА</t>
  </si>
  <si>
    <t>ДОМИНИКА</t>
  </si>
  <si>
    <t>СОЛОВЬЕВА</t>
  </si>
  <si>
    <t>Олимпиада , Олимпиада , Олимпиада , Олимпиада</t>
  </si>
  <si>
    <t>Предметное, Предметное, Предметное, Предметное</t>
  </si>
  <si>
    <t>Городские, Международные, Республиканские, Международные</t>
  </si>
  <si>
    <t>нет, нет,  Грамота, нет</t>
  </si>
  <si>
    <t>2019-11-15T15:58:00, 2019-12-05T15:58:00, 2019-11-15T15:58:00, 2019-12-05T15:58:00</t>
  </si>
  <si>
    <t>АЛМАТ</t>
  </si>
  <si>
    <t>ДӘРИЯ</t>
  </si>
  <si>
    <t>МҰРАТҚЫЗЫ</t>
  </si>
  <si>
    <t>ДӘУЛЕТ</t>
  </si>
  <si>
    <t>МҰРАТҰЛЫ</t>
  </si>
  <si>
    <t>ЗЛЮЧИЙ</t>
  </si>
  <si>
    <t>ТІЛЕКТЕСҰЛЫ</t>
  </si>
  <si>
    <t>МУРАТОВ</t>
  </si>
  <si>
    <t>НУРДАУЛЕТ</t>
  </si>
  <si>
    <t>ДАУЛЕТОВИЧ</t>
  </si>
  <si>
    <t>АНСАР</t>
  </si>
  <si>
    <t>САНСЫЗБАЙҰЛЫ</t>
  </si>
  <si>
    <t>ГУБСКИЙ</t>
  </si>
  <si>
    <t>зимние виды</t>
  </si>
  <si>
    <t>АДИЛЕТ</t>
  </si>
  <si>
    <t>МАХАНБЕТОВ</t>
  </si>
  <si>
    <t>НУРБЕКОВИЧ</t>
  </si>
  <si>
    <t>НҰРБОЛАТ</t>
  </si>
  <si>
    <t>БЕКНҰРҚЫЗЫ</t>
  </si>
  <si>
    <t>АСЫЛХАН</t>
  </si>
  <si>
    <t>СҮННӘТҚЫЗЫ</t>
  </si>
  <si>
    <t>СЕЙЛХАНҰЛЫ</t>
  </si>
  <si>
    <t>ЛОБОДЕНКО</t>
  </si>
  <si>
    <t>НҰРҒАЛИ</t>
  </si>
  <si>
    <t>РАМАЗАНҰЛЫ</t>
  </si>
  <si>
    <t>КАДИРБЕРДИЕВА</t>
  </si>
  <si>
    <t>НАРБАЕВНА</t>
  </si>
  <si>
    <t>ТІЛЕКТЕСҚЫЗЫ</t>
  </si>
  <si>
    <t>ЮДАКОВ</t>
  </si>
  <si>
    <t>КОСТОЕВА</t>
  </si>
  <si>
    <t>ТАСЛИМА</t>
  </si>
  <si>
    <t>МАГОМЕДОВНА</t>
  </si>
  <si>
    <t>МАРЬЯМ</t>
  </si>
  <si>
    <t>ЖУМАТАЕВ</t>
  </si>
  <si>
    <t>ЖУСУПБЕК</t>
  </si>
  <si>
    <t>АЗАМАТОВИЧ</t>
  </si>
  <si>
    <t>ПЫШНЫЙ</t>
  </si>
  <si>
    <t>АЛИХАНҚЫЗЫ</t>
  </si>
  <si>
    <t>РЯБОВ</t>
  </si>
  <si>
    <t>ШҰҒЫЛА</t>
  </si>
  <si>
    <t>НҰРҒАЙЫПҚЫЗЫ</t>
  </si>
  <si>
    <t>КАЖАХАТОВА</t>
  </si>
  <si>
    <t>АЛЬБИНА</t>
  </si>
  <si>
    <t>ХАЛЫҚ</t>
  </si>
  <si>
    <t>АҚАН</t>
  </si>
  <si>
    <t>ПАЛИЙ</t>
  </si>
  <si>
    <t>2021-11-22T00:00:00</t>
  </si>
  <si>
    <t>ЗЛЫДНЕВ</t>
  </si>
  <si>
    <t>Математика, Естествознание, Информатика</t>
  </si>
  <si>
    <t>4, 4, 4</t>
  </si>
  <si>
    <t>ЕВГЕНИЕВНА</t>
  </si>
  <si>
    <t>ӘСІЛХАН</t>
  </si>
  <si>
    <t>ЖАНАСЫЛ</t>
  </si>
  <si>
    <t>ЕДІЛХАНҰЛЫ</t>
  </si>
  <si>
    <t>РҮСТЕМҰЛЫ</t>
  </si>
  <si>
    <t>2022-09-30T00:00:00</t>
  </si>
  <si>
    <t>ЖҮСІП</t>
  </si>
  <si>
    <t>шахматно-шашечные, другое пение, домбра</t>
  </si>
  <si>
    <t>бесплатно, платно, платно</t>
  </si>
  <si>
    <t>Конкурс, Конкурс, Другое, Другое, Другое, Другое, Другое, Другое, Проект, Другое, Олимпиада , Олимпиада , Олимпиада , Другое, Другое, Соревнование, Соревнование, Соревнование, Соревнование, Соревнование, Другое, Соревнование, Олимпиада , Соревнование, Другое, Соревнование, Другое, Конкурс, Соревнование, Соревнование, Соревнование, Другое, Проект, Соревнование, Соревнование, Другое, Конкурс, Другое, Олимпиада , Проект, Олимпиада , Соревнование, Соревнование, Соревнование, Соревнование, Другое, Соревнование, Соревнование, Соревнование, Другое, Спартакиада, Другое, Другое, Соревнование, Другое, Другое, Соревнование, Олимпиада</t>
  </si>
  <si>
    <t>Спортивное, Спортивное, Творческое, Творческое, Творческое, Творческое, Творческое, Творческое, Творческое, Предметное, Предметное, Предметное, Предметное, Творческое, Творческое, Спортивное, Спортивное, Спортивное, Спортивное, Спортивное, Творческое, Спортивное, Предметное, Спортивное, Творческое, Спортивное, Предметное, Предметное, Спортивное, Спортивное, Спортивное, Предметное, Предметное, Спортивное, Спортивное, Предметное, Предметное, Предметное, Предметное, Творческое, Предметное, Спортивное, Спортивное, Спортивное, Спортивное, Творческое, Спортивное, Спортивное, Спортивное, Предметное, Спортивное, Творческое, Творческое, Спортивное, Предметное, Предметное, Спортивное, Предметное</t>
  </si>
  <si>
    <t>На уровне данной организации, На уровне данной организации, Республиканские, Республиканские, Городские, Областные, Городские, На уровне данной организации, Городские, Городские, Областные, Областные, Областные, Республиканские, Республиканские, Городские, Городские, Городские, Городские, Городские, Городские, Городские, Международные, Городские, Городские, Городские, Республиканские, На уровне данной организации, Городские, Городские, На уровне данной организации, Республиканские, Международные, Городские, Городские, На уровне данной организации, На уровне данной организации, На уровне данной организации, На уровне данной организации, Областные, На уровне данной организации, Городские, Городские, На уровне данной организации, Городские, Городские, Городские, Городские, Городские, На уровне данной организации, Городские, На уровне данной организации, На уровне данной организации, Городские, На уровне данной организации, На уровне данной организации, Городские, Городские</t>
  </si>
  <si>
    <t>Грамота,  Грамота, Диплом, Диплом,  Грамота, Диплом,  Грамота,  Грамота, Диплом,  Грамота, Диплом, Диплом, Диплом,  Грамота, Диплом,  Грамота,  Грамота,  Грамота,  Грамота,  Грамота,  Грамота,  Грамота, Диплом,  Грамота,  Грамота, Диплом, Диплом,  Грамота, Диплом,  Грамота,  Грамота, Диплом, Диплом,  Грамота,  Грамота,  Грамота,  Грамота,  Грамота,  Грамота, Диплом,  Грамота,  Грамота,  Грамота,  Грамота,  Грамота,  Грамота,  Грамота,  Грамота,  Грамота,  Грамота,  Грамота, Диплом,  Грамота,  Грамота,  Грамота,  Грамота,  Грамота, Диплом</t>
  </si>
  <si>
    <t>2018-05-03T00:00:00, 2018-05-11T00:00:00, 2018-10-15T00:00:00, 2019-12-20T00:00:00, 2021-11-12T00:00:00, 2021-01-15T00:00:00, 2021-11-29T00:00:00, 2021-05-25T00:00:00, 2021-11-11T00:00:00, 2021-05-25T00:00:00, 2022-04-22T00:00:00, 2022-04-25T00:00:00, 2022-04-22T00:00:00, 2022-04-22T00:00:00, 2022-02-02T00:00:00, 2022-11-11T00:00:00, 2021-03-06T00:00:00, 2022-12-12T00:00:00, 2022-06-06T00:00:00, 2022-01-05T00:00:00, 2021-11-15T00:00:00, 2022-03-18T00:00:00, 2022-01-22T00:00:00, 2022-10-20T00:00:00, 2021-10-10T00:00:00, 2022-10-11T00:00:00, 2019-11-15T00:00:00, 2023-02-02T00:00:00, 2022-11-12T00:00:00, 2022-08-20T00:00:00, 2022-12-18T00:00:00, 2022-11-11T00:00:00, 2023-04-25T00:00:00, 2023-05-05T00:00:00, 2022-11-20T00:00:00, 2023-02-09T00:00:00, 2023-02-15T00:00:00, 2023-02-10T00:00:00, 2023-01-18T00:00:00, 2022-12-19T00:00:00, 2022-09-09T00:00:00, 2023-03-16T00:00:00, 2023-02-10T00:00:00, 2022-12-10T00:00:00, 2022-10-01T00:00:00, 2022-12-01T00:00:00, 2023-03-20T00:00:00, 2023-03-03T00:00:00, 2022-09-18T00:00:00, 2023-02-10T00:00:00, 2023-11-13T00:00:00, 2023-05-30T00:00:00, 2023-06-05T00:00:00, 2023-05-31T00:00:00, 2023-05-29T00:00:00, 2023-05-30T00:00:00, 2023-06-01T00:00:00, 2023-04-18T00:00:00</t>
  </si>
  <si>
    <t>ХАБИДОЛЛА</t>
  </si>
  <si>
    <t>НҰРЛЫБЕКҚЫЗЫ</t>
  </si>
  <si>
    <t>САМАРХАНҚЫЗЫ</t>
  </si>
  <si>
    <t>2019-12-12T14:45:00</t>
  </si>
  <si>
    <t>ҚАНАТ</t>
  </si>
  <si>
    <t>АЛПЫСБАЕВ</t>
  </si>
  <si>
    <t>МАКШАНОВА</t>
  </si>
  <si>
    <t>МЕРУЕРТ</t>
  </si>
  <si>
    <t>ТАЛГАТКЫЗЫ</t>
  </si>
  <si>
    <t>2018-10-18T20:16:00</t>
  </si>
  <si>
    <t>ПЕТРОВСКИЙ</t>
  </si>
  <si>
    <t>НОВИКОВ</t>
  </si>
  <si>
    <t>РЕХОВА</t>
  </si>
  <si>
    <t>ТАМЕРИС</t>
  </si>
  <si>
    <t>КАБИТОВ</t>
  </si>
  <si>
    <t>ДУЛАТУЛЫ</t>
  </si>
  <si>
    <t>ГИНЦ</t>
  </si>
  <si>
    <t>2019-12-05T18:59:00</t>
  </si>
  <si>
    <t>ДУБРОВИНА</t>
  </si>
  <si>
    <t>БУЯКОВ</t>
  </si>
  <si>
    <t>2019-12-05T19:08:00</t>
  </si>
  <si>
    <t>АЛПЫСБАЙ</t>
  </si>
  <si>
    <t>КЕЛДЕНҰЛЫ</t>
  </si>
  <si>
    <t>ПЕТРОВ</t>
  </si>
  <si>
    <t>2019-12-05T19:03:00</t>
  </si>
  <si>
    <t>САЛОВА</t>
  </si>
  <si>
    <t>УЛЬЯНА</t>
  </si>
  <si>
    <t>3, 5, 4, 3, 3</t>
  </si>
  <si>
    <t>ПОПОВ</t>
  </si>
  <si>
    <t>БУРЧИЦ</t>
  </si>
  <si>
    <t>АБУЯЗИТОВИЧ</t>
  </si>
  <si>
    <t>ДИЛМУРАТОВА</t>
  </si>
  <si>
    <t>РАХЫМЖАНОВНА</t>
  </si>
  <si>
    <t>ҚАБЖАН</t>
  </si>
  <si>
    <t>НҰРАЙЫМ</t>
  </si>
  <si>
    <t>НҰРЖАНҚЫЗЫ</t>
  </si>
  <si>
    <t>ЖУМАБАЕВА</t>
  </si>
  <si>
    <t>АЯНОВНА</t>
  </si>
  <si>
    <t>ДАИР</t>
  </si>
  <si>
    <t>САЯБЕКҚЫЗЫ</t>
  </si>
  <si>
    <t>МЯКОШИНА</t>
  </si>
  <si>
    <t>ЭРИКА</t>
  </si>
  <si>
    <t>ШУБИНА</t>
  </si>
  <si>
    <t>БЕКНАЗАРОВ</t>
  </si>
  <si>
    <t>ИХТИЯРОВИЧ</t>
  </si>
  <si>
    <t>БЕКНАЗАРОВА</t>
  </si>
  <si>
    <t>ИХТИЯРОВНА</t>
  </si>
  <si>
    <t>РОКИН</t>
  </si>
  <si>
    <t>АНТОНОВИЧ</t>
  </si>
  <si>
    <t>КАНАПИН</t>
  </si>
  <si>
    <t>АШИМОВИЧ</t>
  </si>
  <si>
    <t>КАПАЕВА</t>
  </si>
  <si>
    <t>ДӘУРЕН</t>
  </si>
  <si>
    <t>НАУРЫЗБАЙ</t>
  </si>
  <si>
    <t>МӨЛДІР</t>
  </si>
  <si>
    <t>АМАНЖОЛҚЫЗЫ</t>
  </si>
  <si>
    <t>География</t>
  </si>
  <si>
    <t>САРКАБЕНОВА</t>
  </si>
  <si>
    <t>ЕЛЖАС</t>
  </si>
  <si>
    <t>ВЕРТ</t>
  </si>
  <si>
    <t>РУСТАМОВИЧ</t>
  </si>
  <si>
    <t>КУАТБАЕВ</t>
  </si>
  <si>
    <t>МУХАСАН</t>
  </si>
  <si>
    <t>МАГАУИЯЕВИЧ</t>
  </si>
  <si>
    <t>Соревнование, Конкурс</t>
  </si>
  <si>
    <t>Спортивное, Творческое</t>
  </si>
  <si>
    <t>На уровне данной организации, Городские</t>
  </si>
  <si>
    <t>Серебряная медаль, Золотая медаль</t>
  </si>
  <si>
    <t>2019-11-20T09:46:00, 2019-10-15T09:48:00</t>
  </si>
  <si>
    <t>ГЛЕБОВ</t>
  </si>
  <si>
    <t>ДАРХАНБЕКОВА</t>
  </si>
  <si>
    <t>АЛГАТАЕВНА</t>
  </si>
  <si>
    <t>ДЕНИСЕНКО</t>
  </si>
  <si>
    <t>КАЗИЗОВ</t>
  </si>
  <si>
    <t>МЫНЖАСАР</t>
  </si>
  <si>
    <t>КОЛИН</t>
  </si>
  <si>
    <t>КУАТБЕКОВИЧ</t>
  </si>
  <si>
    <t>АХМАДИ</t>
  </si>
  <si>
    <t>НУРСУЛТАНОВИЧ</t>
  </si>
  <si>
    <t>МИТРОШИН</t>
  </si>
  <si>
    <t>МОИСЕЕВ</t>
  </si>
  <si>
    <t>МУСТАФИНА</t>
  </si>
  <si>
    <t>ДИЛЬЯРА</t>
  </si>
  <si>
    <t>РАМИЛЬЕВНА</t>
  </si>
  <si>
    <t>ПИСАРЕВИЧ</t>
  </si>
  <si>
    <t>АМЕЛИ</t>
  </si>
  <si>
    <t>УМАРОВА</t>
  </si>
  <si>
    <t>АДИНА</t>
  </si>
  <si>
    <t>МУХАМЕТОВНА</t>
  </si>
  <si>
    <t>НАЗАРОВНА</t>
  </si>
  <si>
    <t>ТУПИКО</t>
  </si>
  <si>
    <t>ВАДИМОВНА</t>
  </si>
  <si>
    <t>АНЗОР</t>
  </si>
  <si>
    <t>ЧЕРНОВА</t>
  </si>
  <si>
    <t>КРЫЛЫШКИН</t>
  </si>
  <si>
    <t>МИХАЙЛОВИЧ</t>
  </si>
  <si>
    <t>РЫБАЛКО</t>
  </si>
  <si>
    <t>БЕЙСЕН</t>
  </si>
  <si>
    <t>БЕЙСЕНҰЛЫ</t>
  </si>
  <si>
    <t>ДЕМИН</t>
  </si>
  <si>
    <t>МАНЬКО</t>
  </si>
  <si>
    <t>2019-12-05T14:11:00</t>
  </si>
  <si>
    <t>КАПЕЗ</t>
  </si>
  <si>
    <t>САМИР</t>
  </si>
  <si>
    <t>АЙТЕЕВ</t>
  </si>
  <si>
    <t>ДУЛАТОВИЧ</t>
  </si>
  <si>
    <t>АЛТАБАЕВА</t>
  </si>
  <si>
    <t>БАУЫРЖАНОВНА</t>
  </si>
  <si>
    <t>ЖҰАНЫШ</t>
  </si>
  <si>
    <t>ДУМАНҚЫЗЫ</t>
  </si>
  <si>
    <t>АСЫЛЫМ</t>
  </si>
  <si>
    <t>БОКОНҚЫЗЫ</t>
  </si>
  <si>
    <t>НИЗАМ</t>
  </si>
  <si>
    <t>РАИНБЕК</t>
  </si>
  <si>
    <t>ӘДІЛЕТ</t>
  </si>
  <si>
    <t>ЖАНАРҰЛЫ</t>
  </si>
  <si>
    <t>СӘЛИМА</t>
  </si>
  <si>
    <t>АЙНАРА</t>
  </si>
  <si>
    <t>ЖУМАБАЕВ</t>
  </si>
  <si>
    <t>МАРЛЕН</t>
  </si>
  <si>
    <t>АЯНОВИЧ</t>
  </si>
  <si>
    <t>АЙБЕКҚЫЗЫ</t>
  </si>
  <si>
    <t>ИЛЬНАРА</t>
  </si>
  <si>
    <t>ДИАРБЕК</t>
  </si>
  <si>
    <t>ЕСЕНБЕКҰЛЫ</t>
  </si>
  <si>
    <t>АЙБЕК</t>
  </si>
  <si>
    <t>ФАТИМА</t>
  </si>
  <si>
    <t>ЖӘНІБЕКҚЫЗЫ</t>
  </si>
  <si>
    <t>ХМЫЗ</t>
  </si>
  <si>
    <t>ШАХМЕТОВ</t>
  </si>
  <si>
    <t>ТАНАТОВИЧ</t>
  </si>
  <si>
    <t>САЯТҚЫЗЫ</t>
  </si>
  <si>
    <t>ИСАЕВ</t>
  </si>
  <si>
    <t>2019-02-20T17:16:00</t>
  </si>
  <si>
    <t>АЙҒАНЫМ</t>
  </si>
  <si>
    <t>ЕДІЛХАНҚЫЗЫ</t>
  </si>
  <si>
    <t>СЕЙТЖАНОВА</t>
  </si>
  <si>
    <t>ЕРЖАНОВНА</t>
  </si>
  <si>
    <t>2020-12-22T00:00:00</t>
  </si>
  <si>
    <t>ЖАҚСЫЛЫҚ</t>
  </si>
  <si>
    <t>ӘДІЛЖАН</t>
  </si>
  <si>
    <t>ӨМІРХАНҰЛЫ</t>
  </si>
  <si>
    <t>ӘЛИАР</t>
  </si>
  <si>
    <t>НҰРДӘУЛЕТ</t>
  </si>
  <si>
    <t>КОЗЛОВСКИЙ</t>
  </si>
  <si>
    <t>КАШЕР</t>
  </si>
  <si>
    <t>ЭЛЬНУРА</t>
  </si>
  <si>
    <t>САКЕНОВНА</t>
  </si>
  <si>
    <t>ДЮСЕНБАЕВ</t>
  </si>
  <si>
    <t>[с нарушением интеллекта, с умеренными нарушениями интеллекта, нарушение речи]</t>
  </si>
  <si>
    <t>АЙДӘУЛЕТ</t>
  </si>
  <si>
    <t>ДУЛАТҰЛЫ</t>
  </si>
  <si>
    <t>Математика, Физика, Химия, Биология, География</t>
  </si>
  <si>
    <t>3, 3, 4, 4, 4</t>
  </si>
  <si>
    <t>ЖАНЗИРА</t>
  </si>
  <si>
    <t>4, 4, 4, 4, 5</t>
  </si>
  <si>
    <t>НҰРАЙ</t>
  </si>
  <si>
    <t>НҰРӘЛІ</t>
  </si>
  <si>
    <t>МАҚСҰТ</t>
  </si>
  <si>
    <t>другие спортивные, языковые</t>
  </si>
  <si>
    <t>МАГЗАТОВ</t>
  </si>
  <si>
    <t>ИЛЬДАР</t>
  </si>
  <si>
    <t>ЗАМИРОВИЧ</t>
  </si>
  <si>
    <t>2018-11-23T00:00:00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</si>
</sst>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14" fontId="0" fillId="0" borderId="0" xfId="0" applyNumberFormat="1"/>
    <xf numFmtId="17" fontId="0" fillId="0" borderId="0" xfId="0" applyNumberFormat="1"/>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902"/>
  <sheetViews>
    <sheetView tabSelected="1" workbookViewId="0">
      <selection activeCell="AJ1" sqref="AJ1"/>
    </sheetView>
  </sheetViews>
  <sheetFormatPr defaultRowHeight="14.4" x14ac:dyDescent="0.3"/>
  <sheetData>
    <row r="1" spans="1:196"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149</v>
      </c>
      <c r="EU1" t="s">
        <v>150</v>
      </c>
      <c r="EV1" t="s">
        <v>151</v>
      </c>
      <c r="EW1" t="s">
        <v>152</v>
      </c>
      <c r="EX1" t="s">
        <v>153</v>
      </c>
      <c r="EY1" t="s">
        <v>154</v>
      </c>
      <c r="EZ1" t="s">
        <v>155</v>
      </c>
      <c r="FA1" t="s">
        <v>156</v>
      </c>
      <c r="FB1" t="s">
        <v>157</v>
      </c>
      <c r="FC1" t="s">
        <v>158</v>
      </c>
      <c r="FD1" t="s">
        <v>159</v>
      </c>
      <c r="FE1" t="s">
        <v>160</v>
      </c>
      <c r="FF1" t="s">
        <v>161</v>
      </c>
      <c r="FG1" t="s">
        <v>162</v>
      </c>
      <c r="FH1" t="s">
        <v>163</v>
      </c>
      <c r="FI1" t="s">
        <v>164</v>
      </c>
      <c r="FJ1" t="s">
        <v>165</v>
      </c>
      <c r="FK1" t="s">
        <v>166</v>
      </c>
      <c r="FL1" t="s">
        <v>167</v>
      </c>
      <c r="FM1" t="s">
        <v>168</v>
      </c>
      <c r="FN1" t="s">
        <v>169</v>
      </c>
      <c r="FO1" t="s">
        <v>170</v>
      </c>
      <c r="FP1" t="s">
        <v>171</v>
      </c>
      <c r="FQ1" t="s">
        <v>172</v>
      </c>
      <c r="FR1" t="s">
        <v>173</v>
      </c>
      <c r="FS1" t="s">
        <v>174</v>
      </c>
      <c r="FT1" t="s">
        <v>175</v>
      </c>
      <c r="FU1" t="s">
        <v>176</v>
      </c>
      <c r="FV1" t="s">
        <v>177</v>
      </c>
      <c r="FW1" t="s">
        <v>178</v>
      </c>
      <c r="FX1" t="s">
        <v>179</v>
      </c>
      <c r="FY1" t="s">
        <v>180</v>
      </c>
      <c r="FZ1" t="s">
        <v>181</v>
      </c>
      <c r="GA1" t="s">
        <v>182</v>
      </c>
      <c r="GB1" t="s">
        <v>183</v>
      </c>
      <c r="GC1" t="s">
        <v>184</v>
      </c>
      <c r="GD1" t="s">
        <v>185</v>
      </c>
      <c r="GE1" t="s">
        <v>186</v>
      </c>
      <c r="GF1" t="s">
        <v>187</v>
      </c>
      <c r="GG1" t="s">
        <v>188</v>
      </c>
      <c r="GH1" t="s">
        <v>189</v>
      </c>
      <c r="GI1" t="s">
        <v>190</v>
      </c>
      <c r="GJ1" t="s">
        <v>191</v>
      </c>
      <c r="GK1" t="s">
        <v>192</v>
      </c>
      <c r="GL1" t="s">
        <v>193</v>
      </c>
      <c r="GM1" t="s">
        <v>194</v>
      </c>
      <c r="GN1" t="s">
        <v>195</v>
      </c>
    </row>
    <row r="2" spans="1:196" x14ac:dyDescent="0.3">
      <c r="A2">
        <v>339101</v>
      </c>
      <c r="B2">
        <v>171177</v>
      </c>
      <c r="C2" t="str">
        <f>"090520651265"</f>
        <v>090520651265</v>
      </c>
      <c r="D2" t="s">
        <v>196</v>
      </c>
      <c r="E2" t="s">
        <v>197</v>
      </c>
      <c r="F2" t="s">
        <v>198</v>
      </c>
      <c r="G2" s="1">
        <v>39953</v>
      </c>
      <c r="I2" t="s">
        <v>199</v>
      </c>
      <c r="J2" t="s">
        <v>200</v>
      </c>
      <c r="K2" t="s">
        <v>201</v>
      </c>
      <c r="R2" t="str">
        <f>"КАЗАХСТАН, АКМОЛИНСКАЯ, СТЕПНОГОРСК, 38, 15"</f>
        <v>КАЗАХСТАН, АКМОЛИНСКАЯ, СТЕПНОГОРСК, 38, 15</v>
      </c>
      <c r="S2" t="str">
        <f>"ҚАЗАҚСТАН, АҚМОЛА, СТЕПНОГОР, 38, 15"</f>
        <v>ҚАЗАҚСТАН, АҚМОЛА, СТЕПНОГОР, 38, 15</v>
      </c>
      <c r="T2" t="str">
        <f>"38, 15"</f>
        <v>38, 15</v>
      </c>
      <c r="U2" t="str">
        <f>"38, 15"</f>
        <v>38, 15</v>
      </c>
      <c r="AC2" t="str">
        <f>"2015-09-01T00:00:00"</f>
        <v>2015-09-01T00:00:00</v>
      </c>
      <c r="AD2" t="str">
        <f>"1"</f>
        <v>1</v>
      </c>
      <c r="AE2" t="str">
        <f>"2023-09-01T01:05:20"</f>
        <v>2023-09-01T01:05:20</v>
      </c>
      <c r="AF2" t="str">
        <f>"2024-05-25T01:05:20"</f>
        <v>2024-05-25T01:05:20</v>
      </c>
      <c r="AG2" t="s">
        <v>202</v>
      </c>
      <c r="AH2" t="str">
        <f t="shared" ref="AH2:AH13" si="0">"ckool007@mail.ru"</f>
        <v>ckool007@mail.ru</v>
      </c>
      <c r="AI2" t="s">
        <v>203</v>
      </c>
      <c r="AJ2" t="s">
        <v>204</v>
      </c>
      <c r="AK2" t="s">
        <v>205</v>
      </c>
      <c r="AL2" t="s">
        <v>206</v>
      </c>
      <c r="AN2" t="s">
        <v>207</v>
      </c>
      <c r="AO2">
        <v>1</v>
      </c>
      <c r="AP2" t="s">
        <v>208</v>
      </c>
      <c r="AQ2" t="s">
        <v>209</v>
      </c>
      <c r="AR2" t="s">
        <v>210</v>
      </c>
      <c r="AV2" t="str">
        <f>"2021-01-19T11:31:54"</f>
        <v>2021-01-19T11:31:54</v>
      </c>
      <c r="AW2" t="s">
        <v>206</v>
      </c>
      <c r="AX2" t="s">
        <v>211</v>
      </c>
      <c r="AZ2" t="s">
        <v>209</v>
      </c>
      <c r="BI2" t="s">
        <v>212</v>
      </c>
      <c r="BJ2" t="s">
        <v>213</v>
      </c>
      <c r="BK2" t="s">
        <v>214</v>
      </c>
      <c r="BL2" t="s">
        <v>215</v>
      </c>
      <c r="BN2" t="s">
        <v>216</v>
      </c>
      <c r="BO2" t="s">
        <v>209</v>
      </c>
      <c r="BP2" t="s">
        <v>217</v>
      </c>
      <c r="BQ2" t="s">
        <v>218</v>
      </c>
      <c r="BS2" t="s">
        <v>219</v>
      </c>
      <c r="BT2" t="s">
        <v>220</v>
      </c>
      <c r="BU2" t="s">
        <v>206</v>
      </c>
      <c r="BX2" t="s">
        <v>221</v>
      </c>
      <c r="BY2" t="s">
        <v>221</v>
      </c>
      <c r="CA2" t="s">
        <v>222</v>
      </c>
      <c r="CB2" t="s">
        <v>223</v>
      </c>
      <c r="CC2" t="s">
        <v>224</v>
      </c>
      <c r="CD2" t="s">
        <v>223</v>
      </c>
      <c r="CE2" t="s">
        <v>225</v>
      </c>
      <c r="CF2" t="s">
        <v>226</v>
      </c>
      <c r="CG2" t="s">
        <v>227</v>
      </c>
      <c r="CH2" t="s">
        <v>228</v>
      </c>
      <c r="CI2" t="s">
        <v>229</v>
      </c>
      <c r="CJ2" t="s">
        <v>206</v>
      </c>
      <c r="CK2" t="s">
        <v>230</v>
      </c>
      <c r="CL2" t="s">
        <v>231</v>
      </c>
      <c r="CM2" t="s">
        <v>232</v>
      </c>
      <c r="CN2" t="s">
        <v>233</v>
      </c>
      <c r="CP2" t="s">
        <v>212</v>
      </c>
      <c r="CQ2" t="s">
        <v>212</v>
      </c>
      <c r="CR2" t="s">
        <v>212</v>
      </c>
      <c r="CS2" t="s">
        <v>212</v>
      </c>
      <c r="CY2" t="s">
        <v>212</v>
      </c>
      <c r="DB2" t="s">
        <v>234</v>
      </c>
      <c r="DE2" t="s">
        <v>212</v>
      </c>
      <c r="DF2" t="s">
        <v>212</v>
      </c>
      <c r="DG2" t="s">
        <v>235</v>
      </c>
      <c r="DH2" t="s">
        <v>212</v>
      </c>
      <c r="DJ2" t="s">
        <v>236</v>
      </c>
      <c r="DM2" t="s">
        <v>212</v>
      </c>
    </row>
    <row r="3" spans="1:196" x14ac:dyDescent="0.3">
      <c r="A3">
        <v>339222</v>
      </c>
      <c r="B3">
        <v>306765</v>
      </c>
      <c r="C3" t="str">
        <f>"081006553856"</f>
        <v>081006553856</v>
      </c>
      <c r="D3" t="s">
        <v>237</v>
      </c>
      <c r="E3" t="s">
        <v>238</v>
      </c>
      <c r="F3" t="s">
        <v>239</v>
      </c>
      <c r="G3" s="1">
        <v>39727</v>
      </c>
      <c r="I3" t="s">
        <v>240</v>
      </c>
      <c r="J3" t="s">
        <v>200</v>
      </c>
      <c r="K3" t="s">
        <v>201</v>
      </c>
      <c r="R3" t="str">
        <f>"АНДОРРА, АКМОЛИНСКАЯ, СТЕПНОГОРСК, 13, 61"</f>
        <v>АНДОРРА, АКМОЛИНСКАЯ, СТЕПНОГОРСК, 13, 61</v>
      </c>
      <c r="S3" t="str">
        <f>"АНДОРРА, АҚМОЛА, СТЕПНОГОР, 13, 61"</f>
        <v>АНДОРРА, АҚМОЛА, СТЕПНОГОР, 13, 61</v>
      </c>
      <c r="T3" t="str">
        <f>"13, 61"</f>
        <v>13, 61</v>
      </c>
      <c r="U3" t="str">
        <f>"13, 61"</f>
        <v>13, 61</v>
      </c>
      <c r="AC3" t="str">
        <f>"2015-09-01T00:00:00"</f>
        <v>2015-09-01T00:00:00</v>
      </c>
      <c r="AD3" t="str">
        <f>"1"</f>
        <v>1</v>
      </c>
      <c r="AG3" t="s">
        <v>202</v>
      </c>
      <c r="AH3" t="str">
        <f t="shared" si="0"/>
        <v>ckool007@mail.ru</v>
      </c>
      <c r="AI3" t="s">
        <v>203</v>
      </c>
      <c r="AJ3" t="s">
        <v>204</v>
      </c>
      <c r="AK3" t="s">
        <v>205</v>
      </c>
      <c r="AL3" t="s">
        <v>206</v>
      </c>
      <c r="AN3" t="s">
        <v>207</v>
      </c>
      <c r="AO3">
        <v>1</v>
      </c>
      <c r="AP3" t="s">
        <v>208</v>
      </c>
      <c r="AQ3" t="s">
        <v>209</v>
      </c>
      <c r="AR3" t="s">
        <v>210</v>
      </c>
      <c r="AW3" t="s">
        <v>206</v>
      </c>
      <c r="AX3" t="s">
        <v>211</v>
      </c>
      <c r="AZ3" t="s">
        <v>209</v>
      </c>
      <c r="BI3" t="s">
        <v>212</v>
      </c>
      <c r="BJ3" t="s">
        <v>213</v>
      </c>
      <c r="BK3" t="s">
        <v>214</v>
      </c>
      <c r="BL3" t="s">
        <v>215</v>
      </c>
      <c r="BN3" t="s">
        <v>216</v>
      </c>
      <c r="BO3" t="s">
        <v>209</v>
      </c>
      <c r="BP3" t="s">
        <v>241</v>
      </c>
      <c r="BQ3">
        <v>4</v>
      </c>
      <c r="BS3" t="s">
        <v>219</v>
      </c>
      <c r="BT3" t="s">
        <v>220</v>
      </c>
      <c r="BU3" t="s">
        <v>206</v>
      </c>
      <c r="BX3" t="s">
        <v>221</v>
      </c>
      <c r="BY3" t="s">
        <v>221</v>
      </c>
      <c r="CA3" t="s">
        <v>222</v>
      </c>
      <c r="CB3" t="s">
        <v>223</v>
      </c>
      <c r="CC3" t="s">
        <v>222</v>
      </c>
      <c r="CD3" t="s">
        <v>223</v>
      </c>
      <c r="CE3" t="s">
        <v>242</v>
      </c>
      <c r="CJ3" t="s">
        <v>206</v>
      </c>
      <c r="CK3" t="s">
        <v>230</v>
      </c>
      <c r="CL3" t="s">
        <v>231</v>
      </c>
      <c r="CM3" t="s">
        <v>232</v>
      </c>
      <c r="CN3" t="s">
        <v>233</v>
      </c>
      <c r="CP3" t="s">
        <v>212</v>
      </c>
      <c r="CQ3" t="s">
        <v>212</v>
      </c>
      <c r="CR3" t="s">
        <v>212</v>
      </c>
      <c r="CS3" t="s">
        <v>212</v>
      </c>
      <c r="CY3" t="s">
        <v>212</v>
      </c>
      <c r="DB3" t="s">
        <v>234</v>
      </c>
      <c r="DE3" t="s">
        <v>212</v>
      </c>
      <c r="DF3" t="s">
        <v>212</v>
      </c>
      <c r="DG3" t="s">
        <v>235</v>
      </c>
      <c r="DH3" t="s">
        <v>212</v>
      </c>
      <c r="DJ3" t="s">
        <v>236</v>
      </c>
      <c r="DM3" t="s">
        <v>212</v>
      </c>
    </row>
    <row r="4" spans="1:196" x14ac:dyDescent="0.3">
      <c r="A4">
        <v>339441</v>
      </c>
      <c r="B4">
        <v>306967</v>
      </c>
      <c r="C4" t="str">
        <f>"080422553865"</f>
        <v>080422553865</v>
      </c>
      <c r="D4" t="s">
        <v>243</v>
      </c>
      <c r="E4" t="s">
        <v>244</v>
      </c>
      <c r="F4" t="s">
        <v>245</v>
      </c>
      <c r="G4" s="1">
        <v>39560</v>
      </c>
      <c r="I4" t="s">
        <v>240</v>
      </c>
      <c r="J4" t="s">
        <v>200</v>
      </c>
      <c r="K4" t="s">
        <v>201</v>
      </c>
      <c r="R4" t="str">
        <f>"КАЗАХСТАН, АКМОЛИНСКАЯ, СТЕПНОГОРСК, 22, 18"</f>
        <v>КАЗАХСТАН, АКМОЛИНСКАЯ, СТЕПНОГОРСК, 22, 18</v>
      </c>
      <c r="S4" t="str">
        <f>"ҚАЗАҚСТАН, АҚМОЛА, СТЕПНОГОР, 22, 18"</f>
        <v>ҚАЗАҚСТАН, АҚМОЛА, СТЕПНОГОР, 22, 18</v>
      </c>
      <c r="T4" t="str">
        <f>"22, 18"</f>
        <v>22, 18</v>
      </c>
      <c r="U4" t="str">
        <f>"22, 18"</f>
        <v>22, 18</v>
      </c>
      <c r="AC4" t="str">
        <f>"2015-09-01T00:00:00"</f>
        <v>2015-09-01T00:00:00</v>
      </c>
      <c r="AD4" t="str">
        <f>"1"</f>
        <v>1</v>
      </c>
      <c r="AG4" t="s">
        <v>202</v>
      </c>
      <c r="AH4" t="str">
        <f t="shared" si="0"/>
        <v>ckool007@mail.ru</v>
      </c>
      <c r="AI4" t="s">
        <v>203</v>
      </c>
      <c r="AJ4" t="s">
        <v>204</v>
      </c>
      <c r="AK4" t="s">
        <v>246</v>
      </c>
      <c r="AL4" t="s">
        <v>206</v>
      </c>
      <c r="AN4" t="s">
        <v>207</v>
      </c>
      <c r="AO4">
        <v>1</v>
      </c>
      <c r="AP4" t="s">
        <v>208</v>
      </c>
      <c r="AQ4" t="s">
        <v>209</v>
      </c>
      <c r="AR4" t="s">
        <v>210</v>
      </c>
      <c r="AV4" t="str">
        <f>"2021-01-24T23:27:12"</f>
        <v>2021-01-24T23:27:12</v>
      </c>
      <c r="AW4" t="s">
        <v>206</v>
      </c>
      <c r="AX4" t="s">
        <v>211</v>
      </c>
      <c r="AZ4" t="s">
        <v>209</v>
      </c>
      <c r="BI4" t="s">
        <v>212</v>
      </c>
      <c r="BJ4" t="s">
        <v>213</v>
      </c>
      <c r="BK4" t="s">
        <v>214</v>
      </c>
      <c r="BL4" t="s">
        <v>215</v>
      </c>
      <c r="BN4" t="s">
        <v>247</v>
      </c>
      <c r="BO4" t="s">
        <v>209</v>
      </c>
      <c r="BP4" t="s">
        <v>217</v>
      </c>
      <c r="BQ4" t="s">
        <v>248</v>
      </c>
      <c r="BS4" t="s">
        <v>219</v>
      </c>
      <c r="BT4" t="s">
        <v>220</v>
      </c>
      <c r="BU4" t="s">
        <v>206</v>
      </c>
      <c r="BX4" t="s">
        <v>221</v>
      </c>
      <c r="BY4" t="s">
        <v>221</v>
      </c>
      <c r="CA4" t="s">
        <v>249</v>
      </c>
      <c r="CB4" t="s">
        <v>223</v>
      </c>
      <c r="CC4" t="s">
        <v>209</v>
      </c>
      <c r="CE4" t="s">
        <v>242</v>
      </c>
      <c r="CJ4" t="s">
        <v>206</v>
      </c>
      <c r="CK4" t="s">
        <v>230</v>
      </c>
      <c r="CL4" t="s">
        <v>231</v>
      </c>
      <c r="CM4" t="s">
        <v>232</v>
      </c>
      <c r="CN4" t="s">
        <v>233</v>
      </c>
      <c r="CP4" t="s">
        <v>212</v>
      </c>
      <c r="CQ4" t="s">
        <v>212</v>
      </c>
      <c r="CR4" t="s">
        <v>212</v>
      </c>
      <c r="CS4" t="s">
        <v>212</v>
      </c>
      <c r="CY4" t="s">
        <v>212</v>
      </c>
      <c r="DB4" t="s">
        <v>234</v>
      </c>
      <c r="DE4" t="s">
        <v>212</v>
      </c>
      <c r="DF4" t="s">
        <v>212</v>
      </c>
      <c r="DG4" t="s">
        <v>235</v>
      </c>
      <c r="DH4" t="s">
        <v>212</v>
      </c>
      <c r="DJ4" t="s">
        <v>236</v>
      </c>
      <c r="DM4" t="s">
        <v>212</v>
      </c>
    </row>
    <row r="5" spans="1:196" x14ac:dyDescent="0.3">
      <c r="A5">
        <v>339677</v>
      </c>
      <c r="B5">
        <v>307168</v>
      </c>
      <c r="C5" t="str">
        <f>"080907554522"</f>
        <v>080907554522</v>
      </c>
      <c r="D5" t="s">
        <v>250</v>
      </c>
      <c r="E5" t="s">
        <v>251</v>
      </c>
      <c r="F5" t="s">
        <v>252</v>
      </c>
      <c r="G5" s="1">
        <v>39698</v>
      </c>
      <c r="I5" t="s">
        <v>240</v>
      </c>
      <c r="J5" t="s">
        <v>200</v>
      </c>
      <c r="K5" t="s">
        <v>201</v>
      </c>
      <c r="R5" t="str">
        <f>"АНДОРРА, АКМОЛИНСКАЯ, СТЕПНОГОРСК, 10, 16"</f>
        <v>АНДОРРА, АКМОЛИНСКАЯ, СТЕПНОГОРСК, 10, 16</v>
      </c>
      <c r="S5" t="str">
        <f>"АНДОРРА, АҚМОЛА, СТЕПНОГОР, 10, 16"</f>
        <v>АНДОРРА, АҚМОЛА, СТЕПНОГОР, 10, 16</v>
      </c>
      <c r="T5" t="str">
        <f>"10, 16"</f>
        <v>10, 16</v>
      </c>
      <c r="U5" t="str">
        <f>"10, 16"</f>
        <v>10, 16</v>
      </c>
      <c r="AC5" t="str">
        <f>"2015-09-01T00:00:00"</f>
        <v>2015-09-01T00:00:00</v>
      </c>
      <c r="AD5" t="str">
        <f>"1"</f>
        <v>1</v>
      </c>
      <c r="AG5" t="s">
        <v>202</v>
      </c>
      <c r="AH5" t="str">
        <f t="shared" si="0"/>
        <v>ckool007@mail.ru</v>
      </c>
      <c r="AI5" t="s">
        <v>203</v>
      </c>
      <c r="AJ5" t="s">
        <v>204</v>
      </c>
      <c r="AK5" t="s">
        <v>253</v>
      </c>
      <c r="AL5" t="s">
        <v>206</v>
      </c>
      <c r="AN5" t="s">
        <v>254</v>
      </c>
      <c r="AO5">
        <v>1</v>
      </c>
      <c r="AP5" t="s">
        <v>208</v>
      </c>
      <c r="AQ5" t="s">
        <v>209</v>
      </c>
      <c r="AR5" t="s">
        <v>210</v>
      </c>
      <c r="AW5" t="s">
        <v>206</v>
      </c>
      <c r="AX5" t="s">
        <v>211</v>
      </c>
      <c r="AZ5" t="s">
        <v>209</v>
      </c>
      <c r="BI5" t="s">
        <v>212</v>
      </c>
      <c r="BJ5" t="s">
        <v>213</v>
      </c>
      <c r="BK5" t="s">
        <v>214</v>
      </c>
      <c r="BL5" t="s">
        <v>215</v>
      </c>
      <c r="BN5" t="s">
        <v>247</v>
      </c>
      <c r="BO5" t="s">
        <v>209</v>
      </c>
      <c r="BP5" t="s">
        <v>217</v>
      </c>
      <c r="BQ5" t="s">
        <v>255</v>
      </c>
      <c r="BS5" t="s">
        <v>219</v>
      </c>
      <c r="BT5" t="s">
        <v>220</v>
      </c>
      <c r="BU5" t="s">
        <v>206</v>
      </c>
      <c r="BX5" t="s">
        <v>221</v>
      </c>
      <c r="BY5" t="s">
        <v>221</v>
      </c>
      <c r="CA5" t="s">
        <v>256</v>
      </c>
      <c r="CB5" t="s">
        <v>223</v>
      </c>
      <c r="CC5" t="s">
        <v>209</v>
      </c>
      <c r="CE5" t="s">
        <v>242</v>
      </c>
      <c r="CJ5" t="s">
        <v>206</v>
      </c>
      <c r="CK5" t="s">
        <v>230</v>
      </c>
      <c r="CL5" t="s">
        <v>231</v>
      </c>
      <c r="CM5" t="s">
        <v>232</v>
      </c>
      <c r="CN5" t="s">
        <v>233</v>
      </c>
      <c r="CP5" t="s">
        <v>212</v>
      </c>
      <c r="CQ5" t="s">
        <v>212</v>
      </c>
      <c r="CR5" t="s">
        <v>212</v>
      </c>
      <c r="CS5" t="s">
        <v>212</v>
      </c>
      <c r="CY5" t="s">
        <v>212</v>
      </c>
      <c r="DB5" t="s">
        <v>234</v>
      </c>
      <c r="DE5" t="s">
        <v>212</v>
      </c>
      <c r="DF5" t="s">
        <v>212</v>
      </c>
      <c r="DG5" t="s">
        <v>235</v>
      </c>
      <c r="DH5" t="s">
        <v>212</v>
      </c>
      <c r="DJ5" t="s">
        <v>236</v>
      </c>
      <c r="DM5" t="s">
        <v>212</v>
      </c>
    </row>
    <row r="6" spans="1:196" x14ac:dyDescent="0.3">
      <c r="A6">
        <v>339737</v>
      </c>
      <c r="B6">
        <v>307219</v>
      </c>
      <c r="C6" t="str">
        <f>"080125553583"</f>
        <v>080125553583</v>
      </c>
      <c r="D6" t="s">
        <v>257</v>
      </c>
      <c r="E6" t="s">
        <v>258</v>
      </c>
      <c r="F6" t="s">
        <v>259</v>
      </c>
      <c r="G6" s="1">
        <v>39472</v>
      </c>
      <c r="I6" t="s">
        <v>240</v>
      </c>
      <c r="J6" t="s">
        <v>200</v>
      </c>
      <c r="K6" t="s">
        <v>260</v>
      </c>
      <c r="R6" t="str">
        <f>"АНДОРРА, АКМОЛИНСКАЯ, СТЕПНОГОРСК, 41, 35"</f>
        <v>АНДОРРА, АКМОЛИНСКАЯ, СТЕПНОГОРСК, 41, 35</v>
      </c>
      <c r="S6" t="str">
        <f>"АНДОРРА, АҚМОЛА, СТЕПНОГОР, 41, 35"</f>
        <v>АНДОРРА, АҚМОЛА, СТЕПНОГОР, 41, 35</v>
      </c>
      <c r="T6" t="str">
        <f>"41, 35"</f>
        <v>41, 35</v>
      </c>
      <c r="U6" t="str">
        <f>"41, 35"</f>
        <v>41, 35</v>
      </c>
      <c r="AC6" t="str">
        <f>"2015-09-01T00:00:00"</f>
        <v>2015-09-01T00:00:00</v>
      </c>
      <c r="AD6" t="str">
        <f>"1"</f>
        <v>1</v>
      </c>
      <c r="AG6" t="s">
        <v>202</v>
      </c>
      <c r="AH6" t="str">
        <f t="shared" si="0"/>
        <v>ckool007@mail.ru</v>
      </c>
      <c r="AI6" t="s">
        <v>203</v>
      </c>
      <c r="AJ6" t="s">
        <v>204</v>
      </c>
      <c r="AK6" t="s">
        <v>261</v>
      </c>
      <c r="AL6" t="s">
        <v>206</v>
      </c>
      <c r="AN6" t="s">
        <v>207</v>
      </c>
      <c r="AO6">
        <v>1</v>
      </c>
      <c r="AP6" t="s">
        <v>208</v>
      </c>
      <c r="AQ6" t="s">
        <v>209</v>
      </c>
      <c r="AR6" t="s">
        <v>262</v>
      </c>
      <c r="AW6" t="s">
        <v>206</v>
      </c>
      <c r="AX6" t="s">
        <v>211</v>
      </c>
      <c r="AZ6" t="s">
        <v>209</v>
      </c>
      <c r="BI6" t="s">
        <v>212</v>
      </c>
      <c r="BJ6" t="s">
        <v>213</v>
      </c>
      <c r="BK6" t="s">
        <v>214</v>
      </c>
      <c r="BL6" t="s">
        <v>215</v>
      </c>
      <c r="BN6" t="s">
        <v>247</v>
      </c>
      <c r="BO6" t="s">
        <v>209</v>
      </c>
      <c r="BP6" t="s">
        <v>217</v>
      </c>
      <c r="BQ6" t="s">
        <v>248</v>
      </c>
      <c r="BS6" t="s">
        <v>219</v>
      </c>
      <c r="BT6" t="s">
        <v>220</v>
      </c>
      <c r="BU6" t="s">
        <v>206</v>
      </c>
      <c r="BX6" t="s">
        <v>221</v>
      </c>
      <c r="BY6" t="s">
        <v>221</v>
      </c>
      <c r="CA6" t="s">
        <v>263</v>
      </c>
      <c r="CB6" t="s">
        <v>223</v>
      </c>
      <c r="CC6" t="s">
        <v>209</v>
      </c>
      <c r="CE6" t="s">
        <v>242</v>
      </c>
      <c r="CJ6" t="s">
        <v>206</v>
      </c>
      <c r="CK6" t="s">
        <v>264</v>
      </c>
      <c r="CL6" t="s">
        <v>231</v>
      </c>
      <c r="CM6" t="s">
        <v>232</v>
      </c>
      <c r="CN6" t="s">
        <v>233</v>
      </c>
      <c r="CP6" t="s">
        <v>212</v>
      </c>
      <c r="CQ6" t="s">
        <v>212</v>
      </c>
      <c r="CR6" t="s">
        <v>212</v>
      </c>
      <c r="CS6" t="s">
        <v>212</v>
      </c>
      <c r="CY6" t="s">
        <v>212</v>
      </c>
      <c r="DB6" t="s">
        <v>234</v>
      </c>
      <c r="DE6" t="s">
        <v>212</v>
      </c>
      <c r="DF6" t="s">
        <v>212</v>
      </c>
      <c r="DG6" t="s">
        <v>235</v>
      </c>
      <c r="DH6" t="s">
        <v>212</v>
      </c>
      <c r="DJ6" t="s">
        <v>236</v>
      </c>
      <c r="DM6" t="s">
        <v>212</v>
      </c>
    </row>
    <row r="7" spans="1:196" x14ac:dyDescent="0.3">
      <c r="A7">
        <v>339925</v>
      </c>
      <c r="B7">
        <v>174355</v>
      </c>
      <c r="C7" t="str">
        <f>"090321650681"</f>
        <v>090321650681</v>
      </c>
      <c r="D7" t="s">
        <v>265</v>
      </c>
      <c r="E7" t="s">
        <v>266</v>
      </c>
      <c r="F7" t="s">
        <v>267</v>
      </c>
      <c r="G7" s="1">
        <v>39893</v>
      </c>
      <c r="I7" t="s">
        <v>199</v>
      </c>
      <c r="J7" t="s">
        <v>200</v>
      </c>
      <c r="K7" t="s">
        <v>268</v>
      </c>
      <c r="R7" t="str">
        <f>"АНДОРРА, АКМОЛИНСКАЯ, СТЕПНОГОРСК, 53, 32"</f>
        <v>АНДОРРА, АКМОЛИНСКАЯ, СТЕПНОГОРСК, 53, 32</v>
      </c>
      <c r="S7" t="str">
        <f>"АНДОРРА, АҚМОЛА, СТЕПНОГОР, 53, 32"</f>
        <v>АНДОРРА, АҚМОЛА, СТЕПНОГОР, 53, 32</v>
      </c>
      <c r="T7" t="str">
        <f>"53, 32"</f>
        <v>53, 32</v>
      </c>
      <c r="U7" t="str">
        <f>"53, 32"</f>
        <v>53, 32</v>
      </c>
      <c r="AC7" t="str">
        <f>"2023-09-26T00:00:00"</f>
        <v>2023-09-26T00:00:00</v>
      </c>
      <c r="AD7" t="str">
        <f>"87"</f>
        <v>87</v>
      </c>
      <c r="AG7" t="s">
        <v>202</v>
      </c>
      <c r="AH7" t="str">
        <f t="shared" si="0"/>
        <v>ckool007@mail.ru</v>
      </c>
      <c r="AI7" t="s">
        <v>269</v>
      </c>
      <c r="AJ7" t="s">
        <v>204</v>
      </c>
      <c r="AK7" t="s">
        <v>246</v>
      </c>
      <c r="AL7" t="s">
        <v>206</v>
      </c>
      <c r="AN7" t="s">
        <v>207</v>
      </c>
      <c r="AO7">
        <v>1</v>
      </c>
      <c r="AP7" t="s">
        <v>208</v>
      </c>
      <c r="AQ7" t="s">
        <v>209</v>
      </c>
      <c r="AR7" t="s">
        <v>210</v>
      </c>
      <c r="AW7" t="s">
        <v>206</v>
      </c>
      <c r="AX7" t="s">
        <v>211</v>
      </c>
      <c r="AZ7" t="s">
        <v>209</v>
      </c>
      <c r="BI7" t="s">
        <v>212</v>
      </c>
      <c r="BJ7" t="s">
        <v>213</v>
      </c>
      <c r="BK7" t="s">
        <v>214</v>
      </c>
      <c r="BL7" t="s">
        <v>215</v>
      </c>
      <c r="BN7" t="s">
        <v>247</v>
      </c>
      <c r="BO7" t="s">
        <v>209</v>
      </c>
      <c r="BP7" t="s">
        <v>217</v>
      </c>
      <c r="BQ7" t="s">
        <v>270</v>
      </c>
      <c r="BS7" t="s">
        <v>219</v>
      </c>
      <c r="BT7" t="s">
        <v>220</v>
      </c>
      <c r="BU7" t="s">
        <v>206</v>
      </c>
      <c r="BX7" t="s">
        <v>234</v>
      </c>
      <c r="BY7" t="s">
        <v>234</v>
      </c>
      <c r="CA7" t="s">
        <v>222</v>
      </c>
      <c r="CB7" t="s">
        <v>223</v>
      </c>
      <c r="CC7" t="s">
        <v>209</v>
      </c>
      <c r="CE7" t="s">
        <v>242</v>
      </c>
      <c r="CJ7" t="s">
        <v>206</v>
      </c>
      <c r="CK7" t="s">
        <v>230</v>
      </c>
      <c r="CL7" t="s">
        <v>231</v>
      </c>
      <c r="CM7" t="s">
        <v>232</v>
      </c>
      <c r="CN7" t="s">
        <v>233</v>
      </c>
      <c r="CP7" t="s">
        <v>212</v>
      </c>
      <c r="CQ7" t="s">
        <v>212</v>
      </c>
      <c r="CR7" t="s">
        <v>212</v>
      </c>
      <c r="CS7" t="s">
        <v>212</v>
      </c>
      <c r="CY7" t="s">
        <v>212</v>
      </c>
      <c r="DB7" t="s">
        <v>234</v>
      </c>
      <c r="DE7" t="s">
        <v>212</v>
      </c>
      <c r="DF7" t="s">
        <v>212</v>
      </c>
      <c r="DG7" t="s">
        <v>235</v>
      </c>
      <c r="DH7" t="s">
        <v>212</v>
      </c>
      <c r="DJ7" t="s">
        <v>236</v>
      </c>
      <c r="DM7" t="s">
        <v>212</v>
      </c>
    </row>
    <row r="8" spans="1:196" x14ac:dyDescent="0.3">
      <c r="A8">
        <v>340258</v>
      </c>
      <c r="B8">
        <v>171420</v>
      </c>
      <c r="C8" t="str">
        <f>"080413553707"</f>
        <v>080413553707</v>
      </c>
      <c r="D8" t="s">
        <v>271</v>
      </c>
      <c r="E8" t="s">
        <v>272</v>
      </c>
      <c r="F8" t="s">
        <v>273</v>
      </c>
      <c r="G8" s="1">
        <v>39551</v>
      </c>
      <c r="I8" t="s">
        <v>240</v>
      </c>
      <c r="J8" t="s">
        <v>200</v>
      </c>
      <c r="K8" t="s">
        <v>201</v>
      </c>
      <c r="R8" t="str">
        <f>"КАЗАХСТАН, АКМОЛИНСКАЯ, СТЕПНОГОРСК, 8, 111"</f>
        <v>КАЗАХСТАН, АКМОЛИНСКАЯ, СТЕПНОГОРСК, 8, 111</v>
      </c>
      <c r="S8" t="str">
        <f>"ҚАЗАҚСТАН, АҚМОЛА, СТЕПНОГОР, 8, 111"</f>
        <v>ҚАЗАҚСТАН, АҚМОЛА, СТЕПНОГОР, 8, 111</v>
      </c>
      <c r="T8" t="str">
        <f>"8, 111"</f>
        <v>8, 111</v>
      </c>
      <c r="U8" t="str">
        <f>"8, 111"</f>
        <v>8, 111</v>
      </c>
      <c r="AC8" t="str">
        <f>"2015-11-26T00:00:00"</f>
        <v>2015-11-26T00:00:00</v>
      </c>
      <c r="AD8" t="str">
        <f>"42"</f>
        <v>42</v>
      </c>
      <c r="AG8" t="s">
        <v>202</v>
      </c>
      <c r="AH8" t="str">
        <f t="shared" si="0"/>
        <v>ckool007@mail.ru</v>
      </c>
      <c r="AI8" t="s">
        <v>274</v>
      </c>
      <c r="AJ8" t="s">
        <v>204</v>
      </c>
      <c r="AK8" t="s">
        <v>246</v>
      </c>
      <c r="AL8" t="s">
        <v>206</v>
      </c>
      <c r="AN8" t="s">
        <v>207</v>
      </c>
      <c r="AO8">
        <v>1</v>
      </c>
      <c r="AP8" t="s">
        <v>208</v>
      </c>
      <c r="AQ8" t="s">
        <v>209</v>
      </c>
      <c r="AR8" t="s">
        <v>210</v>
      </c>
      <c r="AW8" t="s">
        <v>206</v>
      </c>
      <c r="AX8" t="s">
        <v>211</v>
      </c>
      <c r="AZ8" t="s">
        <v>209</v>
      </c>
      <c r="BI8" t="s">
        <v>212</v>
      </c>
      <c r="BJ8" t="s">
        <v>213</v>
      </c>
      <c r="BK8" t="s">
        <v>214</v>
      </c>
      <c r="BL8" t="s">
        <v>215</v>
      </c>
      <c r="BN8" t="s">
        <v>247</v>
      </c>
      <c r="BO8" t="s">
        <v>209</v>
      </c>
      <c r="BP8" t="s">
        <v>241</v>
      </c>
      <c r="BQ8">
        <v>3</v>
      </c>
      <c r="BS8" t="s">
        <v>219</v>
      </c>
      <c r="BT8" t="s">
        <v>220</v>
      </c>
      <c r="BU8" t="s">
        <v>206</v>
      </c>
      <c r="BX8" t="s">
        <v>221</v>
      </c>
      <c r="BY8" t="s">
        <v>221</v>
      </c>
      <c r="CA8" t="s">
        <v>249</v>
      </c>
      <c r="CB8" t="s">
        <v>223</v>
      </c>
      <c r="CC8" t="s">
        <v>209</v>
      </c>
      <c r="CE8" t="s">
        <v>242</v>
      </c>
      <c r="CJ8" t="s">
        <v>206</v>
      </c>
      <c r="CK8" t="s">
        <v>230</v>
      </c>
      <c r="CL8" t="s">
        <v>231</v>
      </c>
      <c r="CM8" t="s">
        <v>232</v>
      </c>
      <c r="CN8" t="s">
        <v>233</v>
      </c>
      <c r="CP8" t="s">
        <v>212</v>
      </c>
      <c r="CQ8" t="s">
        <v>212</v>
      </c>
      <c r="CR8" t="s">
        <v>212</v>
      </c>
      <c r="CS8" t="s">
        <v>212</v>
      </c>
      <c r="CY8" t="s">
        <v>212</v>
      </c>
      <c r="DB8" t="s">
        <v>234</v>
      </c>
      <c r="DE8" t="s">
        <v>212</v>
      </c>
      <c r="DF8" t="s">
        <v>212</v>
      </c>
      <c r="DG8" t="s">
        <v>235</v>
      </c>
      <c r="DH8" t="s">
        <v>212</v>
      </c>
      <c r="DJ8" t="s">
        <v>236</v>
      </c>
      <c r="DM8" t="s">
        <v>212</v>
      </c>
    </row>
    <row r="9" spans="1:196" x14ac:dyDescent="0.3">
      <c r="A9">
        <v>340318</v>
      </c>
      <c r="B9">
        <v>100099</v>
      </c>
      <c r="C9" t="str">
        <f>"080802554155"</f>
        <v>080802554155</v>
      </c>
      <c r="D9" t="s">
        <v>275</v>
      </c>
      <c r="E9" t="s">
        <v>276</v>
      </c>
      <c r="F9" t="s">
        <v>277</v>
      </c>
      <c r="G9" s="1">
        <v>39662</v>
      </c>
      <c r="I9" t="s">
        <v>240</v>
      </c>
      <c r="J9" t="s">
        <v>200</v>
      </c>
      <c r="K9" t="s">
        <v>201</v>
      </c>
      <c r="R9" t="str">
        <f>"КАЗАХСТАН, АКМОЛИНСКАЯ, СТЕПНОГОРСК, КЕНТI Аксу, 10, 1"</f>
        <v>КАЗАХСТАН, АКМОЛИНСКАЯ, СТЕПНОГОРСК, КЕНТI Аксу, 10, 1</v>
      </c>
      <c r="S9" t="str">
        <f>"ҚАЗАҚСТАН, АҚМОЛА, СТЕПНОГОР, КЕНТI Аксу, 10, 1"</f>
        <v>ҚАЗАҚСТАН, АҚМОЛА, СТЕПНОГОР, КЕНТI Аксу, 10, 1</v>
      </c>
      <c r="T9" t="str">
        <f>"КЕНТI Аксу, 10, 1"</f>
        <v>КЕНТI Аксу, 10, 1</v>
      </c>
      <c r="U9" t="str">
        <f>"КЕНТI Аксу, 10, 1"</f>
        <v>КЕНТI Аксу, 10, 1</v>
      </c>
      <c r="AC9" t="str">
        <f>"2017-09-07T00:00:00"</f>
        <v>2017-09-07T00:00:00</v>
      </c>
      <c r="AD9" t="str">
        <f>"30/1"</f>
        <v>30/1</v>
      </c>
      <c r="AG9" t="s">
        <v>202</v>
      </c>
      <c r="AH9" t="str">
        <f t="shared" si="0"/>
        <v>ckool007@mail.ru</v>
      </c>
      <c r="AI9" t="s">
        <v>203</v>
      </c>
      <c r="AJ9" t="s">
        <v>204</v>
      </c>
      <c r="AK9" t="s">
        <v>246</v>
      </c>
      <c r="AL9" t="s">
        <v>206</v>
      </c>
      <c r="AN9" t="s">
        <v>207</v>
      </c>
      <c r="AO9">
        <v>1</v>
      </c>
      <c r="AP9" t="s">
        <v>208</v>
      </c>
      <c r="AQ9" t="s">
        <v>209</v>
      </c>
      <c r="AR9" t="s">
        <v>210</v>
      </c>
      <c r="AV9" t="str">
        <f>"2021-01-24T23:27:23"</f>
        <v>2021-01-24T23:27:23</v>
      </c>
      <c r="AW9" t="s">
        <v>206</v>
      </c>
      <c r="AX9" t="s">
        <v>211</v>
      </c>
      <c r="AZ9" t="s">
        <v>209</v>
      </c>
      <c r="BI9" t="s">
        <v>212</v>
      </c>
      <c r="BJ9" t="s">
        <v>213</v>
      </c>
      <c r="BK9" t="s">
        <v>214</v>
      </c>
      <c r="BL9" t="s">
        <v>215</v>
      </c>
      <c r="BN9" t="s">
        <v>216</v>
      </c>
      <c r="BO9" t="s">
        <v>209</v>
      </c>
      <c r="BP9" t="s">
        <v>241</v>
      </c>
      <c r="BQ9">
        <v>4</v>
      </c>
      <c r="BS9" t="s">
        <v>219</v>
      </c>
      <c r="BT9" t="s">
        <v>220</v>
      </c>
      <c r="BU9" t="s">
        <v>206</v>
      </c>
      <c r="BX9" t="s">
        <v>221</v>
      </c>
      <c r="BY9" t="s">
        <v>221</v>
      </c>
      <c r="CA9" t="s">
        <v>249</v>
      </c>
      <c r="CB9" t="s">
        <v>223</v>
      </c>
      <c r="CC9" t="s">
        <v>209</v>
      </c>
      <c r="CE9" t="s">
        <v>242</v>
      </c>
      <c r="CJ9" t="s">
        <v>206</v>
      </c>
      <c r="CK9" t="s">
        <v>230</v>
      </c>
      <c r="CL9" t="s">
        <v>231</v>
      </c>
      <c r="CM9" t="s">
        <v>232</v>
      </c>
      <c r="CN9" t="s">
        <v>233</v>
      </c>
      <c r="CP9" t="s">
        <v>212</v>
      </c>
      <c r="CQ9" t="s">
        <v>212</v>
      </c>
      <c r="CR9" t="s">
        <v>212</v>
      </c>
      <c r="CS9" t="s">
        <v>212</v>
      </c>
      <c r="CY9" t="s">
        <v>212</v>
      </c>
      <c r="DB9" t="s">
        <v>234</v>
      </c>
      <c r="DE9" t="s">
        <v>212</v>
      </c>
      <c r="DF9" t="s">
        <v>212</v>
      </c>
      <c r="DG9" t="s">
        <v>235</v>
      </c>
      <c r="DH9" t="s">
        <v>212</v>
      </c>
      <c r="DJ9" t="s">
        <v>236</v>
      </c>
      <c r="DM9" t="s">
        <v>212</v>
      </c>
    </row>
    <row r="10" spans="1:196" x14ac:dyDescent="0.3">
      <c r="A10">
        <v>340404</v>
      </c>
      <c r="B10">
        <v>307817</v>
      </c>
      <c r="C10" t="str">
        <f>"071225652457"</f>
        <v>071225652457</v>
      </c>
      <c r="D10" t="s">
        <v>278</v>
      </c>
      <c r="E10" t="s">
        <v>279</v>
      </c>
      <c r="F10" t="s">
        <v>280</v>
      </c>
      <c r="G10" s="1">
        <v>39441</v>
      </c>
      <c r="I10" t="s">
        <v>199</v>
      </c>
      <c r="J10" t="s">
        <v>200</v>
      </c>
      <c r="K10" t="s">
        <v>201</v>
      </c>
      <c r="R10" t="str">
        <f>"АНДОРРА, АКМОЛИНСКАЯ, СТЕПНОГОРСК, 26, 4"</f>
        <v>АНДОРРА, АКМОЛИНСКАЯ, СТЕПНОГОРСК, 26, 4</v>
      </c>
      <c r="S10" t="str">
        <f>"АНДОРРА, АҚМОЛА, СТЕПНОГОР, 26, 4"</f>
        <v>АНДОРРА, АҚМОЛА, СТЕПНОГОР, 26, 4</v>
      </c>
      <c r="T10" t="str">
        <f>"26, 4"</f>
        <v>26, 4</v>
      </c>
      <c r="U10" t="str">
        <f>"26, 4"</f>
        <v>26, 4</v>
      </c>
      <c r="AC10" t="str">
        <f>"2015-09-01T00:00:00"</f>
        <v>2015-09-01T00:00:00</v>
      </c>
      <c r="AD10" t="str">
        <f t="shared" ref="AD10:AD19" si="1">"1"</f>
        <v>1</v>
      </c>
      <c r="AG10" t="s">
        <v>202</v>
      </c>
      <c r="AH10" t="str">
        <f t="shared" si="0"/>
        <v>ckool007@mail.ru</v>
      </c>
      <c r="AI10" t="s">
        <v>203</v>
      </c>
      <c r="AJ10" t="s">
        <v>204</v>
      </c>
      <c r="AK10" t="s">
        <v>205</v>
      </c>
      <c r="AL10" t="s">
        <v>206</v>
      </c>
      <c r="AN10" t="s">
        <v>207</v>
      </c>
      <c r="AO10">
        <v>1</v>
      </c>
      <c r="AP10" t="s">
        <v>208</v>
      </c>
      <c r="AQ10" t="s">
        <v>209</v>
      </c>
      <c r="AR10" t="s">
        <v>210</v>
      </c>
      <c r="AW10" t="s">
        <v>206</v>
      </c>
      <c r="AX10" t="s">
        <v>211</v>
      </c>
      <c r="AZ10" t="s">
        <v>209</v>
      </c>
      <c r="BI10" t="s">
        <v>212</v>
      </c>
      <c r="BJ10" t="s">
        <v>213</v>
      </c>
      <c r="BK10" t="s">
        <v>214</v>
      </c>
      <c r="BL10" t="s">
        <v>215</v>
      </c>
      <c r="BN10" t="s">
        <v>281</v>
      </c>
      <c r="BO10" t="s">
        <v>209</v>
      </c>
      <c r="BP10" t="s">
        <v>241</v>
      </c>
      <c r="BQ10">
        <v>5</v>
      </c>
      <c r="BS10" t="s">
        <v>219</v>
      </c>
      <c r="BT10" t="s">
        <v>220</v>
      </c>
      <c r="BU10" t="s">
        <v>206</v>
      </c>
      <c r="BX10" t="s">
        <v>221</v>
      </c>
      <c r="BY10" t="s">
        <v>221</v>
      </c>
      <c r="CA10" t="s">
        <v>222</v>
      </c>
      <c r="CB10" t="s">
        <v>223</v>
      </c>
      <c r="CC10" t="s">
        <v>282</v>
      </c>
      <c r="CD10" t="s">
        <v>223</v>
      </c>
      <c r="CE10" t="s">
        <v>242</v>
      </c>
      <c r="CJ10" t="s">
        <v>206</v>
      </c>
      <c r="CK10" t="s">
        <v>230</v>
      </c>
      <c r="CL10" t="s">
        <v>231</v>
      </c>
      <c r="CM10" t="s">
        <v>232</v>
      </c>
      <c r="CN10" t="s">
        <v>233</v>
      </c>
      <c r="CP10" t="s">
        <v>212</v>
      </c>
      <c r="CQ10" t="s">
        <v>212</v>
      </c>
      <c r="CR10" t="s">
        <v>212</v>
      </c>
      <c r="CS10" t="s">
        <v>212</v>
      </c>
      <c r="CY10" t="s">
        <v>212</v>
      </c>
      <c r="DB10" t="s">
        <v>234</v>
      </c>
      <c r="DE10" t="s">
        <v>212</v>
      </c>
      <c r="DF10" t="s">
        <v>212</v>
      </c>
      <c r="DG10" t="s">
        <v>235</v>
      </c>
      <c r="DH10" t="s">
        <v>212</v>
      </c>
      <c r="DJ10" t="s">
        <v>236</v>
      </c>
      <c r="DM10" t="s">
        <v>212</v>
      </c>
    </row>
    <row r="11" spans="1:196" x14ac:dyDescent="0.3">
      <c r="A11">
        <v>341858</v>
      </c>
      <c r="B11">
        <v>309078</v>
      </c>
      <c r="C11" t="str">
        <f>"090331552913"</f>
        <v>090331552913</v>
      </c>
      <c r="D11" t="s">
        <v>283</v>
      </c>
      <c r="E11" t="s">
        <v>284</v>
      </c>
      <c r="F11" t="s">
        <v>285</v>
      </c>
      <c r="G11" s="1">
        <v>39903</v>
      </c>
      <c r="I11" t="s">
        <v>240</v>
      </c>
      <c r="J11" t="s">
        <v>200</v>
      </c>
      <c r="K11" t="s">
        <v>201</v>
      </c>
      <c r="R11" t="str">
        <f>"АНДОРРА, АКМОЛИНСКАЯ, СТЕПНОГОРСК, 85, 20"</f>
        <v>АНДОРРА, АКМОЛИНСКАЯ, СТЕПНОГОРСК, 85, 20</v>
      </c>
      <c r="S11" t="str">
        <f>"АНДОРРА, АҚМОЛА, СТЕПНОГОР, 85, 20"</f>
        <v>АНДОРРА, АҚМОЛА, СТЕПНОГОР, 85, 20</v>
      </c>
      <c r="T11" t="str">
        <f>"85, 20"</f>
        <v>85, 20</v>
      </c>
      <c r="U11" t="str">
        <f>"85, 20"</f>
        <v>85, 20</v>
      </c>
      <c r="AC11" t="str">
        <f>"2016-09-01T00:00:00"</f>
        <v>2016-09-01T00:00:00</v>
      </c>
      <c r="AD11" t="str">
        <f t="shared" si="1"/>
        <v>1</v>
      </c>
      <c r="AG11" t="s">
        <v>202</v>
      </c>
      <c r="AH11" t="str">
        <f t="shared" si="0"/>
        <v>ckool007@mail.ru</v>
      </c>
      <c r="AI11" t="s">
        <v>203</v>
      </c>
      <c r="AJ11" t="s">
        <v>286</v>
      </c>
      <c r="AK11" t="s">
        <v>205</v>
      </c>
      <c r="AL11" t="s">
        <v>206</v>
      </c>
      <c r="AN11" t="s">
        <v>207</v>
      </c>
      <c r="AO11">
        <v>1</v>
      </c>
      <c r="AP11" t="s">
        <v>208</v>
      </c>
      <c r="AQ11" t="s">
        <v>209</v>
      </c>
      <c r="AR11" t="s">
        <v>210</v>
      </c>
      <c r="AW11" t="s">
        <v>206</v>
      </c>
      <c r="AX11" t="s">
        <v>211</v>
      </c>
      <c r="AZ11" t="s">
        <v>209</v>
      </c>
      <c r="BI11" t="s">
        <v>212</v>
      </c>
      <c r="BJ11" t="s">
        <v>213</v>
      </c>
      <c r="BK11" t="s">
        <v>214</v>
      </c>
      <c r="BL11" t="s">
        <v>215</v>
      </c>
      <c r="BN11" t="s">
        <v>216</v>
      </c>
      <c r="BO11" t="s">
        <v>209</v>
      </c>
      <c r="BP11" t="s">
        <v>217</v>
      </c>
      <c r="BQ11" t="s">
        <v>218</v>
      </c>
      <c r="BS11" t="s">
        <v>219</v>
      </c>
      <c r="BT11" t="s">
        <v>220</v>
      </c>
      <c r="BU11" t="s">
        <v>206</v>
      </c>
      <c r="BX11" t="s">
        <v>221</v>
      </c>
      <c r="BY11" t="s">
        <v>221</v>
      </c>
      <c r="CA11" t="s">
        <v>287</v>
      </c>
      <c r="CC11" t="s">
        <v>222</v>
      </c>
      <c r="CD11" t="s">
        <v>223</v>
      </c>
      <c r="CE11" t="s">
        <v>242</v>
      </c>
      <c r="CJ11" t="s">
        <v>206</v>
      </c>
      <c r="CK11" t="s">
        <v>230</v>
      </c>
      <c r="CL11" t="s">
        <v>231</v>
      </c>
      <c r="CM11" t="s">
        <v>232</v>
      </c>
      <c r="CN11" t="s">
        <v>233</v>
      </c>
      <c r="CP11" t="s">
        <v>212</v>
      </c>
      <c r="CQ11" t="s">
        <v>212</v>
      </c>
      <c r="CR11" t="s">
        <v>212</v>
      </c>
      <c r="CS11" t="s">
        <v>212</v>
      </c>
      <c r="CY11" t="s">
        <v>212</v>
      </c>
      <c r="DB11" t="s">
        <v>234</v>
      </c>
      <c r="DE11" t="s">
        <v>212</v>
      </c>
      <c r="DF11" t="s">
        <v>212</v>
      </c>
      <c r="DG11" t="s">
        <v>235</v>
      </c>
      <c r="DH11" t="s">
        <v>212</v>
      </c>
      <c r="DJ11" t="s">
        <v>236</v>
      </c>
      <c r="DM11" t="s">
        <v>212</v>
      </c>
    </row>
    <row r="12" spans="1:196" x14ac:dyDescent="0.3">
      <c r="A12">
        <v>342275</v>
      </c>
      <c r="B12">
        <v>309427</v>
      </c>
      <c r="C12" t="str">
        <f>"090318551598"</f>
        <v>090318551598</v>
      </c>
      <c r="D12" t="s">
        <v>288</v>
      </c>
      <c r="E12" t="s">
        <v>289</v>
      </c>
      <c r="F12" t="s">
        <v>290</v>
      </c>
      <c r="G12" s="1">
        <v>39890</v>
      </c>
      <c r="I12" t="s">
        <v>240</v>
      </c>
      <c r="J12" t="s">
        <v>200</v>
      </c>
      <c r="K12" t="s">
        <v>260</v>
      </c>
      <c r="R12" t="str">
        <f>"АНДОРРА, АКМОЛИНСКАЯ, СТЕПНОГОРСК, 32, 33"</f>
        <v>АНДОРРА, АКМОЛИНСКАЯ, СТЕПНОГОРСК, 32, 33</v>
      </c>
      <c r="S12" t="str">
        <f>"АНДОРРА, АҚМОЛА, СТЕПНОГОР, 32, 33"</f>
        <v>АНДОРРА, АҚМОЛА, СТЕПНОГОР, 32, 33</v>
      </c>
      <c r="T12" t="str">
        <f>"32, 33"</f>
        <v>32, 33</v>
      </c>
      <c r="U12" t="str">
        <f>"32, 33"</f>
        <v>32, 33</v>
      </c>
      <c r="AC12" t="str">
        <f>"2016-09-01T00:00:00"</f>
        <v>2016-09-01T00:00:00</v>
      </c>
      <c r="AD12" t="str">
        <f t="shared" si="1"/>
        <v>1</v>
      </c>
      <c r="AG12" t="s">
        <v>202</v>
      </c>
      <c r="AH12" t="str">
        <f t="shared" si="0"/>
        <v>ckool007@mail.ru</v>
      </c>
      <c r="AI12" t="s">
        <v>274</v>
      </c>
      <c r="AJ12" t="s">
        <v>286</v>
      </c>
      <c r="AK12" t="s">
        <v>246</v>
      </c>
      <c r="AL12" t="s">
        <v>206</v>
      </c>
      <c r="AN12" t="s">
        <v>207</v>
      </c>
      <c r="AO12">
        <v>1</v>
      </c>
      <c r="AP12" t="s">
        <v>208</v>
      </c>
      <c r="AQ12" t="s">
        <v>209</v>
      </c>
      <c r="AR12" t="s">
        <v>210</v>
      </c>
      <c r="AW12" t="s">
        <v>206</v>
      </c>
      <c r="AX12" t="s">
        <v>211</v>
      </c>
      <c r="AZ12" t="s">
        <v>209</v>
      </c>
      <c r="BI12" t="s">
        <v>212</v>
      </c>
      <c r="BJ12" t="s">
        <v>213</v>
      </c>
      <c r="BK12" t="s">
        <v>214</v>
      </c>
      <c r="BL12" t="s">
        <v>215</v>
      </c>
      <c r="BN12" t="s">
        <v>247</v>
      </c>
      <c r="BO12" t="s">
        <v>209</v>
      </c>
      <c r="BP12" t="s">
        <v>241</v>
      </c>
      <c r="BQ12">
        <v>3</v>
      </c>
      <c r="BS12" t="s">
        <v>219</v>
      </c>
      <c r="BT12" t="s">
        <v>220</v>
      </c>
      <c r="BU12" t="s">
        <v>206</v>
      </c>
      <c r="BX12" t="s">
        <v>221</v>
      </c>
      <c r="BY12" t="s">
        <v>221</v>
      </c>
      <c r="CA12" t="s">
        <v>222</v>
      </c>
      <c r="CB12" t="s">
        <v>223</v>
      </c>
      <c r="CC12" t="s">
        <v>209</v>
      </c>
      <c r="CE12" t="s">
        <v>242</v>
      </c>
      <c r="CJ12" t="s">
        <v>206</v>
      </c>
      <c r="CK12" t="s">
        <v>291</v>
      </c>
      <c r="CM12" t="s">
        <v>292</v>
      </c>
      <c r="CN12" t="s">
        <v>233</v>
      </c>
      <c r="CP12" t="s">
        <v>212</v>
      </c>
      <c r="CQ12" t="s">
        <v>212</v>
      </c>
      <c r="CR12" t="s">
        <v>212</v>
      </c>
      <c r="CS12" t="s">
        <v>212</v>
      </c>
      <c r="CY12" t="s">
        <v>212</v>
      </c>
      <c r="DB12" t="s">
        <v>234</v>
      </c>
      <c r="DE12" t="s">
        <v>212</v>
      </c>
      <c r="DF12" t="s">
        <v>212</v>
      </c>
      <c r="DG12" t="s">
        <v>235</v>
      </c>
      <c r="DH12" t="s">
        <v>212</v>
      </c>
      <c r="DJ12" t="s">
        <v>236</v>
      </c>
      <c r="DM12" t="s">
        <v>212</v>
      </c>
    </row>
    <row r="13" spans="1:196" x14ac:dyDescent="0.3">
      <c r="A13">
        <v>342499</v>
      </c>
      <c r="B13">
        <v>309612</v>
      </c>
      <c r="C13" t="str">
        <f>"080707553983"</f>
        <v>080707553983</v>
      </c>
      <c r="D13" t="s">
        <v>293</v>
      </c>
      <c r="E13" t="s">
        <v>289</v>
      </c>
      <c r="F13" t="s">
        <v>294</v>
      </c>
      <c r="G13" s="1">
        <v>39636</v>
      </c>
      <c r="I13" t="s">
        <v>240</v>
      </c>
      <c r="J13" t="s">
        <v>200</v>
      </c>
      <c r="K13" t="s">
        <v>260</v>
      </c>
      <c r="Q13" t="s">
        <v>212</v>
      </c>
      <c r="R13" t="str">
        <f>"КАЗАХСТАН, АКМОЛИНСКАЯ, СТЕПНОГОРСК, -, 11, 35"</f>
        <v>КАЗАХСТАН, АКМОЛИНСКАЯ, СТЕПНОГОРСК, -, 11, 35</v>
      </c>
      <c r="S13" t="str">
        <f>"ҚАЗАҚСТАН, АҚМОЛА, СТЕПНОГОР, -, 11, 35"</f>
        <v>ҚАЗАҚСТАН, АҚМОЛА, СТЕПНОГОР, -, 11, 35</v>
      </c>
      <c r="T13" t="str">
        <f>"-, 11, 35"</f>
        <v>-, 11, 35</v>
      </c>
      <c r="U13" t="str">
        <f>"-, 11, 35"</f>
        <v>-, 11, 35</v>
      </c>
      <c r="AC13" t="str">
        <f>"2015-09-01T00:00:00"</f>
        <v>2015-09-01T00:00:00</v>
      </c>
      <c r="AD13" t="str">
        <f t="shared" si="1"/>
        <v>1</v>
      </c>
      <c r="AE13" t="str">
        <f>"2023-09-01T10:28:15"</f>
        <v>2023-09-01T10:28:15</v>
      </c>
      <c r="AF13" t="str">
        <f>"2024-05-25T10:28:15"</f>
        <v>2024-05-25T10:28:15</v>
      </c>
      <c r="AG13" t="s">
        <v>202</v>
      </c>
      <c r="AH13" t="str">
        <f t="shared" si="0"/>
        <v>ckool007@mail.ru</v>
      </c>
      <c r="AI13" t="s">
        <v>203</v>
      </c>
      <c r="AJ13" t="s">
        <v>204</v>
      </c>
      <c r="AK13" t="s">
        <v>205</v>
      </c>
      <c r="AL13" t="s">
        <v>206</v>
      </c>
      <c r="AN13" t="s">
        <v>207</v>
      </c>
      <c r="AO13">
        <v>1</v>
      </c>
      <c r="AP13" t="s">
        <v>208</v>
      </c>
      <c r="AQ13" t="s">
        <v>209</v>
      </c>
      <c r="AR13" t="s">
        <v>210</v>
      </c>
      <c r="AW13" t="s">
        <v>206</v>
      </c>
      <c r="AX13" t="s">
        <v>211</v>
      </c>
      <c r="AZ13" t="s">
        <v>209</v>
      </c>
      <c r="BI13" t="s">
        <v>212</v>
      </c>
      <c r="BJ13" t="s">
        <v>213</v>
      </c>
      <c r="BK13" t="s">
        <v>214</v>
      </c>
      <c r="BL13" t="s">
        <v>215</v>
      </c>
      <c r="BN13" t="s">
        <v>281</v>
      </c>
      <c r="BO13" t="s">
        <v>209</v>
      </c>
      <c r="BP13" t="s">
        <v>241</v>
      </c>
      <c r="BQ13">
        <v>5</v>
      </c>
      <c r="BS13" t="s">
        <v>219</v>
      </c>
      <c r="BT13" t="s">
        <v>220</v>
      </c>
      <c r="BU13" t="s">
        <v>206</v>
      </c>
      <c r="BX13" t="s">
        <v>221</v>
      </c>
      <c r="BY13" t="s">
        <v>221</v>
      </c>
      <c r="CA13" t="s">
        <v>222</v>
      </c>
      <c r="CB13" t="s">
        <v>223</v>
      </c>
      <c r="CC13" t="s">
        <v>209</v>
      </c>
      <c r="CE13" t="s">
        <v>225</v>
      </c>
      <c r="CF13" t="s">
        <v>226</v>
      </c>
      <c r="CG13" t="s">
        <v>227</v>
      </c>
      <c r="CH13" t="s">
        <v>228</v>
      </c>
      <c r="CI13" t="s">
        <v>295</v>
      </c>
      <c r="CJ13" t="s">
        <v>206</v>
      </c>
      <c r="CK13" t="s">
        <v>230</v>
      </c>
      <c r="CL13" t="s">
        <v>231</v>
      </c>
      <c r="CM13" t="s">
        <v>232</v>
      </c>
      <c r="CN13" t="s">
        <v>233</v>
      </c>
      <c r="CP13" t="s">
        <v>212</v>
      </c>
      <c r="CQ13" t="s">
        <v>212</v>
      </c>
      <c r="CR13" t="s">
        <v>212</v>
      </c>
      <c r="CS13" t="s">
        <v>212</v>
      </c>
      <c r="CY13" t="s">
        <v>212</v>
      </c>
      <c r="DB13" t="s">
        <v>234</v>
      </c>
      <c r="DE13" t="s">
        <v>212</v>
      </c>
      <c r="DF13" t="s">
        <v>212</v>
      </c>
      <c r="DG13" t="s">
        <v>235</v>
      </c>
      <c r="DH13" t="s">
        <v>212</v>
      </c>
      <c r="DJ13" t="s">
        <v>236</v>
      </c>
      <c r="DM13" t="s">
        <v>212</v>
      </c>
    </row>
    <row r="14" spans="1:196" x14ac:dyDescent="0.3">
      <c r="A14">
        <v>342980</v>
      </c>
      <c r="B14">
        <v>310036</v>
      </c>
      <c r="C14" t="str">
        <f>"100531650539"</f>
        <v>100531650539</v>
      </c>
      <c r="D14" t="s">
        <v>296</v>
      </c>
      <c r="E14" t="s">
        <v>297</v>
      </c>
      <c r="F14" t="s">
        <v>298</v>
      </c>
      <c r="G14" s="1">
        <v>40329</v>
      </c>
      <c r="I14" t="s">
        <v>199</v>
      </c>
      <c r="J14" t="s">
        <v>200</v>
      </c>
      <c r="K14" t="s">
        <v>201</v>
      </c>
      <c r="R14" t="str">
        <f>"КАЗАХСТАН, АКМОЛИНСКАЯ, СТЕПНОГОРСК, 24, 8"</f>
        <v>КАЗАХСТАН, АКМОЛИНСКАЯ, СТЕПНОГОРСК, 24, 8</v>
      </c>
      <c r="S14" t="str">
        <f>"ҚАЗАҚСТАН, АҚМОЛА, СТЕПНОГОР, 24, 8"</f>
        <v>ҚАЗАҚСТАН, АҚМОЛА, СТЕПНОГОР, 24, 8</v>
      </c>
      <c r="T14" t="str">
        <f>"24, 8"</f>
        <v>24, 8</v>
      </c>
      <c r="U14" t="str">
        <f>"24, 8"</f>
        <v>24, 8</v>
      </c>
      <c r="AC14" t="str">
        <f>"2016-09-01T00:00:00"</f>
        <v>2016-09-01T00:00:00</v>
      </c>
      <c r="AD14" t="str">
        <f t="shared" si="1"/>
        <v>1</v>
      </c>
      <c r="AG14" t="s">
        <v>202</v>
      </c>
      <c r="AI14" t="s">
        <v>299</v>
      </c>
      <c r="AJ14" t="s">
        <v>300</v>
      </c>
      <c r="AK14" t="s">
        <v>205</v>
      </c>
      <c r="AL14" t="s">
        <v>206</v>
      </c>
      <c r="AN14" t="s">
        <v>207</v>
      </c>
      <c r="AO14">
        <v>1</v>
      </c>
      <c r="AP14" t="s">
        <v>208</v>
      </c>
      <c r="AQ14" t="s">
        <v>209</v>
      </c>
      <c r="AR14" t="s">
        <v>210</v>
      </c>
      <c r="AW14" t="s">
        <v>206</v>
      </c>
      <c r="AX14" t="s">
        <v>211</v>
      </c>
      <c r="AZ14" t="s">
        <v>209</v>
      </c>
      <c r="BI14" t="s">
        <v>212</v>
      </c>
      <c r="BJ14" t="s">
        <v>213</v>
      </c>
      <c r="BK14" t="s">
        <v>214</v>
      </c>
      <c r="BL14" t="s">
        <v>215</v>
      </c>
      <c r="BN14" t="s">
        <v>281</v>
      </c>
      <c r="BO14" t="s">
        <v>209</v>
      </c>
      <c r="BP14" t="s">
        <v>241</v>
      </c>
      <c r="BQ14">
        <v>5</v>
      </c>
      <c r="BS14" t="s">
        <v>219</v>
      </c>
      <c r="BT14" t="s">
        <v>220</v>
      </c>
      <c r="BU14" t="s">
        <v>206</v>
      </c>
      <c r="BX14" t="s">
        <v>221</v>
      </c>
      <c r="BY14" t="s">
        <v>221</v>
      </c>
      <c r="CA14" t="s">
        <v>222</v>
      </c>
      <c r="CB14" t="s">
        <v>223</v>
      </c>
      <c r="CC14" t="s">
        <v>301</v>
      </c>
      <c r="CD14" t="s">
        <v>223</v>
      </c>
      <c r="CE14" t="s">
        <v>225</v>
      </c>
      <c r="CF14" t="s">
        <v>226</v>
      </c>
      <c r="CG14" t="s">
        <v>227</v>
      </c>
      <c r="CH14" t="s">
        <v>228</v>
      </c>
      <c r="CI14" t="s">
        <v>302</v>
      </c>
      <c r="CJ14" t="s">
        <v>206</v>
      </c>
      <c r="CK14" t="s">
        <v>230</v>
      </c>
      <c r="CL14" t="s">
        <v>231</v>
      </c>
      <c r="CM14" t="s">
        <v>232</v>
      </c>
      <c r="CN14" t="s">
        <v>233</v>
      </c>
      <c r="CP14" t="s">
        <v>212</v>
      </c>
      <c r="CQ14" t="s">
        <v>212</v>
      </c>
      <c r="CR14" t="s">
        <v>212</v>
      </c>
      <c r="CS14" t="s">
        <v>212</v>
      </c>
      <c r="CY14" t="s">
        <v>212</v>
      </c>
      <c r="DB14" t="s">
        <v>234</v>
      </c>
      <c r="DE14" t="s">
        <v>212</v>
      </c>
      <c r="DF14" t="s">
        <v>212</v>
      </c>
      <c r="DG14" t="s">
        <v>235</v>
      </c>
      <c r="DH14" t="s">
        <v>212</v>
      </c>
      <c r="DJ14" t="s">
        <v>236</v>
      </c>
      <c r="DM14" t="s">
        <v>212</v>
      </c>
    </row>
    <row r="15" spans="1:196" x14ac:dyDescent="0.3">
      <c r="A15">
        <v>343115</v>
      </c>
      <c r="B15">
        <v>310162</v>
      </c>
      <c r="C15" t="str">
        <f>"080612654703"</f>
        <v>080612654703</v>
      </c>
      <c r="D15" t="s">
        <v>303</v>
      </c>
      <c r="E15" t="s">
        <v>304</v>
      </c>
      <c r="F15" t="s">
        <v>305</v>
      </c>
      <c r="G15" s="1">
        <v>39611</v>
      </c>
      <c r="I15" t="s">
        <v>199</v>
      </c>
      <c r="J15" t="s">
        <v>200</v>
      </c>
      <c r="K15" t="s">
        <v>306</v>
      </c>
      <c r="R15" t="str">
        <f>"АНДОРРА, АКМОЛИНСКАЯ, СТЕПНОГОРСК, 40, 76"</f>
        <v>АНДОРРА, АКМОЛИНСКАЯ, СТЕПНОГОРСК, 40, 76</v>
      </c>
      <c r="S15" t="str">
        <f>"АНДОРРА, АҚМОЛА, СТЕПНОГОР, 40, 76"</f>
        <v>АНДОРРА, АҚМОЛА, СТЕПНОГОР, 40, 76</v>
      </c>
      <c r="T15" t="str">
        <f>"40, 76"</f>
        <v>40, 76</v>
      </c>
      <c r="U15" t="str">
        <f>"40, 76"</f>
        <v>40, 76</v>
      </c>
      <c r="AC15" t="str">
        <f>"2015-09-01T00:00:00"</f>
        <v>2015-09-01T00:00:00</v>
      </c>
      <c r="AD15" t="str">
        <f t="shared" si="1"/>
        <v>1</v>
      </c>
      <c r="AG15" t="s">
        <v>202</v>
      </c>
      <c r="AH15" t="str">
        <f>"ckool007@mail.ru"</f>
        <v>ckool007@mail.ru</v>
      </c>
      <c r="AI15" t="s">
        <v>203</v>
      </c>
      <c r="AJ15" t="s">
        <v>204</v>
      </c>
      <c r="AK15" t="s">
        <v>261</v>
      </c>
      <c r="AL15" t="s">
        <v>206</v>
      </c>
      <c r="AN15" t="s">
        <v>207</v>
      </c>
      <c r="AO15">
        <v>1</v>
      </c>
      <c r="AP15" t="s">
        <v>208</v>
      </c>
      <c r="AQ15" t="s">
        <v>209</v>
      </c>
      <c r="AR15" t="s">
        <v>307</v>
      </c>
      <c r="AW15" t="s">
        <v>206</v>
      </c>
      <c r="AX15" t="s">
        <v>211</v>
      </c>
      <c r="AZ15" t="s">
        <v>209</v>
      </c>
      <c r="BI15" t="s">
        <v>212</v>
      </c>
      <c r="BJ15" t="s">
        <v>213</v>
      </c>
      <c r="BK15" t="s">
        <v>214</v>
      </c>
      <c r="BL15" t="s">
        <v>215</v>
      </c>
      <c r="BN15" t="s">
        <v>247</v>
      </c>
      <c r="BO15" t="s">
        <v>209</v>
      </c>
      <c r="BP15" t="s">
        <v>217</v>
      </c>
      <c r="BQ15" t="s">
        <v>248</v>
      </c>
      <c r="BS15" t="s">
        <v>219</v>
      </c>
      <c r="BT15" t="s">
        <v>220</v>
      </c>
      <c r="BU15" t="s">
        <v>206</v>
      </c>
      <c r="BX15" t="s">
        <v>234</v>
      </c>
      <c r="BY15" t="s">
        <v>234</v>
      </c>
      <c r="CA15" t="s">
        <v>263</v>
      </c>
      <c r="CB15" t="s">
        <v>223</v>
      </c>
      <c r="CC15" t="s">
        <v>209</v>
      </c>
      <c r="CE15" t="s">
        <v>242</v>
      </c>
      <c r="CJ15" t="s">
        <v>206</v>
      </c>
      <c r="CK15" t="s">
        <v>230</v>
      </c>
      <c r="CL15" t="s">
        <v>231</v>
      </c>
      <c r="CM15" t="s">
        <v>232</v>
      </c>
      <c r="CN15" t="s">
        <v>233</v>
      </c>
      <c r="CP15" t="s">
        <v>212</v>
      </c>
      <c r="CQ15" t="s">
        <v>212</v>
      </c>
      <c r="CR15" t="s">
        <v>212</v>
      </c>
      <c r="CS15" t="s">
        <v>212</v>
      </c>
      <c r="CY15" t="s">
        <v>212</v>
      </c>
      <c r="DB15" t="s">
        <v>234</v>
      </c>
      <c r="DE15" t="s">
        <v>212</v>
      </c>
      <c r="DF15" t="s">
        <v>212</v>
      </c>
      <c r="DG15" t="s">
        <v>235</v>
      </c>
      <c r="DH15" t="s">
        <v>212</v>
      </c>
      <c r="DJ15" t="s">
        <v>236</v>
      </c>
      <c r="DM15" t="s">
        <v>212</v>
      </c>
    </row>
    <row r="16" spans="1:196" x14ac:dyDescent="0.3">
      <c r="A16">
        <v>343218</v>
      </c>
      <c r="B16">
        <v>310258</v>
      </c>
      <c r="C16" t="str">
        <f>"091217651895"</f>
        <v>091217651895</v>
      </c>
      <c r="D16" t="s">
        <v>271</v>
      </c>
      <c r="E16" t="s">
        <v>308</v>
      </c>
      <c r="F16" t="s">
        <v>309</v>
      </c>
      <c r="G16" s="1">
        <v>40164</v>
      </c>
      <c r="I16" t="s">
        <v>199</v>
      </c>
      <c r="J16" t="s">
        <v>200</v>
      </c>
      <c r="K16" t="s">
        <v>201</v>
      </c>
      <c r="R16" t="str">
        <f>"АНДОРРА, АКМОЛИНСКАЯ, СТЕПНОГОРСК, 8, 111"</f>
        <v>АНДОРРА, АКМОЛИНСКАЯ, СТЕПНОГОРСК, 8, 111</v>
      </c>
      <c r="S16" t="str">
        <f>"АНДОРРА, АҚМОЛА, СТЕПНОГОР, 8, 111"</f>
        <v>АНДОРРА, АҚМОЛА, СТЕПНОГОР, 8, 111</v>
      </c>
      <c r="T16" t="str">
        <f>"8, 111"</f>
        <v>8, 111</v>
      </c>
      <c r="U16" t="str">
        <f>"8, 111"</f>
        <v>8, 111</v>
      </c>
      <c r="AC16" t="str">
        <f>"2016-09-01T00:00:00"</f>
        <v>2016-09-01T00:00:00</v>
      </c>
      <c r="AD16" t="str">
        <f t="shared" si="1"/>
        <v>1</v>
      </c>
      <c r="AG16" t="s">
        <v>202</v>
      </c>
      <c r="AH16" t="str">
        <f>"ckool007@mail.ru"</f>
        <v>ckool007@mail.ru</v>
      </c>
      <c r="AI16" t="s">
        <v>203</v>
      </c>
      <c r="AJ16" t="s">
        <v>286</v>
      </c>
      <c r="AK16" t="s">
        <v>261</v>
      </c>
      <c r="AL16" t="s">
        <v>206</v>
      </c>
      <c r="AN16" t="s">
        <v>207</v>
      </c>
      <c r="AO16">
        <v>1</v>
      </c>
      <c r="AP16" t="s">
        <v>208</v>
      </c>
      <c r="AQ16" t="s">
        <v>209</v>
      </c>
      <c r="AR16" t="s">
        <v>210</v>
      </c>
      <c r="AW16" t="s">
        <v>206</v>
      </c>
      <c r="AX16" t="s">
        <v>211</v>
      </c>
      <c r="AZ16" t="s">
        <v>209</v>
      </c>
      <c r="BI16" t="s">
        <v>212</v>
      </c>
      <c r="BJ16" t="s">
        <v>213</v>
      </c>
      <c r="BK16" t="s">
        <v>214</v>
      </c>
      <c r="BL16" t="s">
        <v>215</v>
      </c>
      <c r="BN16" t="s">
        <v>216</v>
      </c>
      <c r="BO16" t="s">
        <v>209</v>
      </c>
      <c r="BP16" t="s">
        <v>241</v>
      </c>
      <c r="BQ16">
        <v>4</v>
      </c>
      <c r="BS16" t="s">
        <v>219</v>
      </c>
      <c r="BT16" t="s">
        <v>220</v>
      </c>
      <c r="BU16" t="s">
        <v>206</v>
      </c>
      <c r="BX16" t="s">
        <v>221</v>
      </c>
      <c r="BY16" t="s">
        <v>221</v>
      </c>
      <c r="CA16" t="s">
        <v>287</v>
      </c>
      <c r="CC16" t="s">
        <v>310</v>
      </c>
      <c r="CD16" t="s">
        <v>223</v>
      </c>
      <c r="CE16" t="s">
        <v>242</v>
      </c>
      <c r="CJ16" t="s">
        <v>206</v>
      </c>
      <c r="CK16" t="s">
        <v>230</v>
      </c>
      <c r="CL16" t="s">
        <v>231</v>
      </c>
      <c r="CM16" t="s">
        <v>232</v>
      </c>
      <c r="CN16" t="s">
        <v>233</v>
      </c>
      <c r="CP16" t="s">
        <v>212</v>
      </c>
      <c r="CQ16" t="s">
        <v>212</v>
      </c>
      <c r="CR16" t="s">
        <v>212</v>
      </c>
      <c r="CS16" t="s">
        <v>212</v>
      </c>
      <c r="CY16" t="s">
        <v>212</v>
      </c>
      <c r="DB16" t="s">
        <v>234</v>
      </c>
      <c r="DE16" t="s">
        <v>212</v>
      </c>
      <c r="DF16" t="s">
        <v>212</v>
      </c>
      <c r="DG16" t="s">
        <v>235</v>
      </c>
      <c r="DH16" t="s">
        <v>212</v>
      </c>
      <c r="DJ16" t="s">
        <v>236</v>
      </c>
      <c r="DM16" t="s">
        <v>212</v>
      </c>
    </row>
    <row r="17" spans="1:117" x14ac:dyDescent="0.3">
      <c r="A17">
        <v>343279</v>
      </c>
      <c r="B17">
        <v>310307</v>
      </c>
      <c r="C17" t="str">
        <f>"080628654007"</f>
        <v>080628654007</v>
      </c>
      <c r="D17" t="s">
        <v>311</v>
      </c>
      <c r="E17" t="s">
        <v>312</v>
      </c>
      <c r="F17" t="s">
        <v>313</v>
      </c>
      <c r="G17" s="1">
        <v>39627</v>
      </c>
      <c r="I17" t="s">
        <v>199</v>
      </c>
      <c r="J17" t="s">
        <v>200</v>
      </c>
      <c r="K17" t="s">
        <v>201</v>
      </c>
      <c r="R17" t="str">
        <f>"АНДОРРА, АКМОЛИНСКАЯ, СТЕПНОГОРСК, 68, 20"</f>
        <v>АНДОРРА, АКМОЛИНСКАЯ, СТЕПНОГОРСК, 68, 20</v>
      </c>
      <c r="S17" t="str">
        <f>"АНДОРРА, АҚМОЛА, СТЕПНОГОР, 68, 20"</f>
        <v>АНДОРРА, АҚМОЛА, СТЕПНОГОР, 68, 20</v>
      </c>
      <c r="T17" t="str">
        <f>"68, 20"</f>
        <v>68, 20</v>
      </c>
      <c r="U17" t="str">
        <f>"68, 20"</f>
        <v>68, 20</v>
      </c>
      <c r="AC17" t="str">
        <f>"2015-09-01T00:00:00"</f>
        <v>2015-09-01T00:00:00</v>
      </c>
      <c r="AD17" t="str">
        <f t="shared" si="1"/>
        <v>1</v>
      </c>
      <c r="AG17" t="s">
        <v>202</v>
      </c>
      <c r="AH17" t="str">
        <f>"ckool007@mail.ru"</f>
        <v>ckool007@mail.ru</v>
      </c>
      <c r="AI17" t="s">
        <v>203</v>
      </c>
      <c r="AJ17" t="s">
        <v>204</v>
      </c>
      <c r="AK17" t="s">
        <v>253</v>
      </c>
      <c r="AL17" t="s">
        <v>206</v>
      </c>
      <c r="AN17" t="s">
        <v>254</v>
      </c>
      <c r="AO17">
        <v>1</v>
      </c>
      <c r="AP17" t="s">
        <v>208</v>
      </c>
      <c r="AQ17" t="s">
        <v>209</v>
      </c>
      <c r="AR17" t="s">
        <v>210</v>
      </c>
      <c r="AW17" t="s">
        <v>206</v>
      </c>
      <c r="AX17" t="s">
        <v>211</v>
      </c>
      <c r="AZ17" t="s">
        <v>209</v>
      </c>
      <c r="BI17" t="s">
        <v>212</v>
      </c>
      <c r="BJ17" t="s">
        <v>213</v>
      </c>
      <c r="BK17" t="s">
        <v>214</v>
      </c>
      <c r="BL17" t="s">
        <v>215</v>
      </c>
      <c r="BN17" t="s">
        <v>216</v>
      </c>
      <c r="BO17" t="s">
        <v>209</v>
      </c>
      <c r="BP17" t="s">
        <v>241</v>
      </c>
      <c r="BQ17">
        <v>4</v>
      </c>
      <c r="BS17" t="s">
        <v>219</v>
      </c>
      <c r="BT17" t="s">
        <v>220</v>
      </c>
      <c r="BU17" t="s">
        <v>206</v>
      </c>
      <c r="BX17" t="s">
        <v>221</v>
      </c>
      <c r="BY17" t="s">
        <v>221</v>
      </c>
      <c r="CA17" t="s">
        <v>256</v>
      </c>
      <c r="CB17" t="s">
        <v>223</v>
      </c>
      <c r="CC17" t="s">
        <v>224</v>
      </c>
      <c r="CD17" t="s">
        <v>223</v>
      </c>
      <c r="CE17" t="s">
        <v>242</v>
      </c>
      <c r="CJ17" t="s">
        <v>206</v>
      </c>
      <c r="CK17" t="s">
        <v>230</v>
      </c>
      <c r="CL17" t="s">
        <v>231</v>
      </c>
      <c r="CM17" t="s">
        <v>232</v>
      </c>
      <c r="CN17" t="s">
        <v>233</v>
      </c>
      <c r="CP17" t="s">
        <v>212</v>
      </c>
      <c r="CQ17" t="s">
        <v>212</v>
      </c>
      <c r="CR17" t="s">
        <v>212</v>
      </c>
      <c r="CS17" t="s">
        <v>212</v>
      </c>
      <c r="CY17" t="s">
        <v>212</v>
      </c>
      <c r="DB17" t="s">
        <v>234</v>
      </c>
      <c r="DE17" t="s">
        <v>212</v>
      </c>
      <c r="DF17" t="s">
        <v>212</v>
      </c>
      <c r="DG17" t="s">
        <v>235</v>
      </c>
      <c r="DH17" t="s">
        <v>212</v>
      </c>
      <c r="DJ17" t="s">
        <v>236</v>
      </c>
      <c r="DM17" t="s">
        <v>212</v>
      </c>
    </row>
    <row r="18" spans="1:117" x14ac:dyDescent="0.3">
      <c r="A18">
        <v>343321</v>
      </c>
      <c r="B18">
        <v>310344</v>
      </c>
      <c r="C18" t="str">
        <f>"090105550244"</f>
        <v>090105550244</v>
      </c>
      <c r="D18" t="s">
        <v>314</v>
      </c>
      <c r="E18" t="s">
        <v>315</v>
      </c>
      <c r="F18" t="s">
        <v>316</v>
      </c>
      <c r="G18" s="1">
        <v>39818</v>
      </c>
      <c r="I18" t="s">
        <v>240</v>
      </c>
      <c r="J18" t="s">
        <v>200</v>
      </c>
      <c r="K18" t="s">
        <v>201</v>
      </c>
      <c r="R18" t="str">
        <f>"АНДОРРА, АКМОЛИНСКАЯ, СТЕПНОГОРСК, 12, 68"</f>
        <v>АНДОРРА, АКМОЛИНСКАЯ, СТЕПНОГОРСК, 12, 68</v>
      </c>
      <c r="S18" t="str">
        <f>"АНДОРРА, АҚМОЛА, СТЕПНОГОР, 12, 68"</f>
        <v>АНДОРРА, АҚМОЛА, СТЕПНОГОР, 12, 68</v>
      </c>
      <c r="T18" t="str">
        <f>"12, 68"</f>
        <v>12, 68</v>
      </c>
      <c r="U18" t="str">
        <f>"12, 68"</f>
        <v>12, 68</v>
      </c>
      <c r="AC18" t="str">
        <f>"2015-09-01T00:00:00"</f>
        <v>2015-09-01T00:00:00</v>
      </c>
      <c r="AD18" t="str">
        <f t="shared" si="1"/>
        <v>1</v>
      </c>
      <c r="AE18" t="str">
        <f>"2023-09-01T01:25:24"</f>
        <v>2023-09-01T01:25:24</v>
      </c>
      <c r="AF18" t="str">
        <f>"2024-05-25T01:25:24"</f>
        <v>2024-05-25T01:25:24</v>
      </c>
      <c r="AG18" t="s">
        <v>202</v>
      </c>
      <c r="AH18" t="str">
        <f>"ckool007@mail.ru"</f>
        <v>ckool007@mail.ru</v>
      </c>
      <c r="AI18" t="s">
        <v>203</v>
      </c>
      <c r="AJ18" t="s">
        <v>204</v>
      </c>
      <c r="AK18" t="s">
        <v>253</v>
      </c>
      <c r="AL18" t="s">
        <v>206</v>
      </c>
      <c r="AN18" t="s">
        <v>254</v>
      </c>
      <c r="AO18">
        <v>1</v>
      </c>
      <c r="AP18" t="s">
        <v>208</v>
      </c>
      <c r="AQ18" t="s">
        <v>209</v>
      </c>
      <c r="AR18" t="s">
        <v>210</v>
      </c>
      <c r="AW18" t="s">
        <v>206</v>
      </c>
      <c r="AX18" t="s">
        <v>211</v>
      </c>
      <c r="AZ18" t="s">
        <v>209</v>
      </c>
      <c r="BI18" t="s">
        <v>212</v>
      </c>
      <c r="BJ18" t="s">
        <v>213</v>
      </c>
      <c r="BK18" t="s">
        <v>214</v>
      </c>
      <c r="BL18" t="s">
        <v>215</v>
      </c>
      <c r="BN18" t="s">
        <v>216</v>
      </c>
      <c r="BO18" t="s">
        <v>209</v>
      </c>
      <c r="BP18" t="s">
        <v>241</v>
      </c>
      <c r="BQ18">
        <v>4</v>
      </c>
      <c r="BS18" t="s">
        <v>219</v>
      </c>
      <c r="BT18" t="s">
        <v>220</v>
      </c>
      <c r="BU18" t="s">
        <v>206</v>
      </c>
      <c r="BX18" t="s">
        <v>221</v>
      </c>
      <c r="BY18" t="s">
        <v>221</v>
      </c>
      <c r="CA18" t="s">
        <v>222</v>
      </c>
      <c r="CB18" t="s">
        <v>223</v>
      </c>
      <c r="CC18" t="s">
        <v>317</v>
      </c>
      <c r="CD18" t="s">
        <v>223</v>
      </c>
      <c r="CE18" t="s">
        <v>225</v>
      </c>
      <c r="CF18" t="s">
        <v>226</v>
      </c>
      <c r="CG18" t="s">
        <v>227</v>
      </c>
      <c r="CH18" t="s">
        <v>228</v>
      </c>
      <c r="CI18" t="s">
        <v>318</v>
      </c>
      <c r="CJ18" t="s">
        <v>206</v>
      </c>
      <c r="CK18" t="s">
        <v>230</v>
      </c>
      <c r="CL18" t="s">
        <v>231</v>
      </c>
      <c r="CM18" t="s">
        <v>232</v>
      </c>
      <c r="CN18" t="s">
        <v>233</v>
      </c>
      <c r="CP18" t="s">
        <v>212</v>
      </c>
      <c r="CQ18" t="s">
        <v>212</v>
      </c>
      <c r="CR18" t="s">
        <v>212</v>
      </c>
      <c r="CS18" t="s">
        <v>212</v>
      </c>
      <c r="CY18" t="s">
        <v>212</v>
      </c>
      <c r="DB18" t="s">
        <v>234</v>
      </c>
      <c r="DE18" t="s">
        <v>212</v>
      </c>
      <c r="DF18" t="s">
        <v>212</v>
      </c>
      <c r="DG18" t="s">
        <v>235</v>
      </c>
      <c r="DH18" t="s">
        <v>212</v>
      </c>
      <c r="DJ18" t="s">
        <v>236</v>
      </c>
      <c r="DM18" t="s">
        <v>212</v>
      </c>
    </row>
    <row r="19" spans="1:117" x14ac:dyDescent="0.3">
      <c r="A19">
        <v>346508</v>
      </c>
      <c r="B19">
        <v>313151</v>
      </c>
      <c r="C19" t="str">
        <f>"090701554485"</f>
        <v>090701554485</v>
      </c>
      <c r="D19" t="s">
        <v>319</v>
      </c>
      <c r="E19" t="s">
        <v>320</v>
      </c>
      <c r="F19" t="s">
        <v>321</v>
      </c>
      <c r="G19" s="1">
        <v>39995</v>
      </c>
      <c r="I19" t="s">
        <v>240</v>
      </c>
      <c r="J19" t="s">
        <v>200</v>
      </c>
      <c r="K19" t="s">
        <v>268</v>
      </c>
      <c r="Q19" t="s">
        <v>212</v>
      </c>
      <c r="R19" t="str">
        <f>"КАЗАХСТАН, НУР-СУЛТАН, АЛМАТЫ РАЙОН, -, 53"</f>
        <v>КАЗАХСТАН, НУР-СУЛТАН, АЛМАТЫ РАЙОН, -, 53</v>
      </c>
      <c r="S19" t="str">
        <f>"ҚАЗАҚСТАН, НҰР-СҰЛТАН, АЛМАТЫ АУДАНЫ, -, 53"</f>
        <v>ҚАЗАҚСТАН, НҰР-СҰЛТАН, АЛМАТЫ АУДАНЫ, -, 53</v>
      </c>
      <c r="T19" t="str">
        <f>"-, 53"</f>
        <v>-, 53</v>
      </c>
      <c r="U19" t="str">
        <f>"-, 53"</f>
        <v>-, 53</v>
      </c>
      <c r="AC19" t="str">
        <f>"2016-09-01T00:00:00"</f>
        <v>2016-09-01T00:00:00</v>
      </c>
      <c r="AD19" t="str">
        <f t="shared" si="1"/>
        <v>1</v>
      </c>
      <c r="AE19" t="str">
        <f>"2023-09-01T10:19:07"</f>
        <v>2023-09-01T10:19:07</v>
      </c>
      <c r="AF19" t="str">
        <f>"2024-05-25T10:19:07"</f>
        <v>2024-05-25T10:19:07</v>
      </c>
      <c r="AG19" t="s">
        <v>202</v>
      </c>
      <c r="AH19" t="str">
        <f>"bitalii@mail.ru"</f>
        <v>bitalii@mail.ru</v>
      </c>
      <c r="AI19" t="s">
        <v>269</v>
      </c>
      <c r="AJ19" t="s">
        <v>286</v>
      </c>
      <c r="AK19" t="s">
        <v>261</v>
      </c>
      <c r="AL19" t="s">
        <v>206</v>
      </c>
      <c r="AN19" t="s">
        <v>207</v>
      </c>
      <c r="AO19">
        <v>1</v>
      </c>
      <c r="AP19" t="s">
        <v>208</v>
      </c>
      <c r="AQ19" t="s">
        <v>209</v>
      </c>
      <c r="AR19" t="s">
        <v>322</v>
      </c>
      <c r="AS19" t="str">
        <f>"236006000076"</f>
        <v>236006000076</v>
      </c>
      <c r="AT19" t="s">
        <v>323</v>
      </c>
      <c r="AU19" t="s">
        <v>324</v>
      </c>
      <c r="AV19" t="str">
        <f>"2023-11-11T20:10:28"</f>
        <v>2023-11-11T20:10:28</v>
      </c>
      <c r="AW19" t="s">
        <v>206</v>
      </c>
      <c r="AX19" t="s">
        <v>211</v>
      </c>
      <c r="AZ19" t="s">
        <v>325</v>
      </c>
      <c r="BA19" t="str">
        <f>"2023-08-29T00:00:00"</f>
        <v>2023-08-29T00:00:00</v>
      </c>
      <c r="BB19" t="str">
        <f>"3694"</f>
        <v>3694</v>
      </c>
      <c r="BC19" t="str">
        <f>"16"</f>
        <v>16</v>
      </c>
      <c r="BD19" t="str">
        <f>"2023-09-01T00:00:00"</f>
        <v>2023-09-01T00:00:00</v>
      </c>
      <c r="BE19" t="str">
        <f>"ВПР Гемиления левой конечности. Ложный сустав средней трети  большеберцовой  кости  левой  голени."</f>
        <v>ВПР Гемиления левой конечности. Ложный сустав средней трети  большеберцовой  кости  левой  голени.</v>
      </c>
      <c r="BF19" t="s">
        <v>326</v>
      </c>
      <c r="BG19" t="s">
        <v>327</v>
      </c>
      <c r="BH19" t="s">
        <v>328</v>
      </c>
      <c r="BJ19" t="s">
        <v>221</v>
      </c>
      <c r="BK19" t="s">
        <v>214</v>
      </c>
      <c r="BL19" t="s">
        <v>221</v>
      </c>
      <c r="BN19" t="s">
        <v>247</v>
      </c>
      <c r="BO19" t="s">
        <v>209</v>
      </c>
      <c r="BP19" t="s">
        <v>217</v>
      </c>
      <c r="BQ19" t="s">
        <v>329</v>
      </c>
      <c r="BS19" t="s">
        <v>219</v>
      </c>
      <c r="BT19" t="s">
        <v>220</v>
      </c>
      <c r="BU19" t="s">
        <v>206</v>
      </c>
      <c r="BX19" t="s">
        <v>234</v>
      </c>
      <c r="BY19" t="s">
        <v>234</v>
      </c>
      <c r="CA19" t="s">
        <v>287</v>
      </c>
      <c r="CC19" t="s">
        <v>209</v>
      </c>
      <c r="CE19" t="s">
        <v>242</v>
      </c>
      <c r="CJ19" t="s">
        <v>212</v>
      </c>
      <c r="CN19" t="s">
        <v>233</v>
      </c>
      <c r="CP19" t="s">
        <v>212</v>
      </c>
      <c r="CQ19" t="s">
        <v>212</v>
      </c>
      <c r="CR19" t="s">
        <v>212</v>
      </c>
      <c r="CS19" t="s">
        <v>212</v>
      </c>
      <c r="CY19" t="s">
        <v>206</v>
      </c>
      <c r="CZ19" t="str">
        <f>"2021-11-01T00:00:00"</f>
        <v>2021-11-01T00:00:00</v>
      </c>
      <c r="DB19" t="s">
        <v>234</v>
      </c>
      <c r="DE19" t="s">
        <v>212</v>
      </c>
      <c r="DF19" t="s">
        <v>212</v>
      </c>
      <c r="DG19" t="s">
        <v>235</v>
      </c>
      <c r="DH19" t="s">
        <v>212</v>
      </c>
      <c r="DJ19" t="s">
        <v>236</v>
      </c>
      <c r="DM19" t="s">
        <v>212</v>
      </c>
    </row>
    <row r="20" spans="1:117" x14ac:dyDescent="0.3">
      <c r="A20">
        <v>348240</v>
      </c>
      <c r="B20">
        <v>314648</v>
      </c>
      <c r="C20" t="str">
        <f>"080619554226"</f>
        <v>080619554226</v>
      </c>
      <c r="D20" t="s">
        <v>330</v>
      </c>
      <c r="E20" t="s">
        <v>331</v>
      </c>
      <c r="F20" t="s">
        <v>332</v>
      </c>
      <c r="G20" s="1">
        <v>39618</v>
      </c>
      <c r="I20" t="s">
        <v>240</v>
      </c>
      <c r="J20" t="s">
        <v>200</v>
      </c>
      <c r="K20" t="s">
        <v>201</v>
      </c>
      <c r="R20" t="str">
        <f>"АНДОРРА, АКМОЛИНСКАЯ, СТЕПНОГОРСК, -, 22, 43"</f>
        <v>АНДОРРА, АКМОЛИНСКАЯ, СТЕПНОГОРСК, -, 22, 43</v>
      </c>
      <c r="S20" t="str">
        <f>"АНДОРРА, АҚМОЛА, СТЕПНОГОР, -, 22, 43"</f>
        <v>АНДОРРА, АҚМОЛА, СТЕПНОГОР, -, 22, 43</v>
      </c>
      <c r="T20" t="str">
        <f>"-, 22, 43"</f>
        <v>-, 22, 43</v>
      </c>
      <c r="U20" t="str">
        <f>"-, 22, 43"</f>
        <v>-, 22, 43</v>
      </c>
      <c r="AC20" t="str">
        <f>"2014-09-02T00:00:00"</f>
        <v>2014-09-02T00:00:00</v>
      </c>
      <c r="AD20" t="str">
        <f>"11"</f>
        <v>11</v>
      </c>
      <c r="AG20" t="s">
        <v>333</v>
      </c>
      <c r="AH20" t="str">
        <f>"ckool007@mail.ru"</f>
        <v>ckool007@mail.ru</v>
      </c>
      <c r="AI20" t="s">
        <v>299</v>
      </c>
      <c r="AJ20" t="s">
        <v>204</v>
      </c>
      <c r="AK20" t="s">
        <v>253</v>
      </c>
      <c r="AL20" t="s">
        <v>206</v>
      </c>
      <c r="AN20" t="s">
        <v>254</v>
      </c>
      <c r="AO20">
        <v>1</v>
      </c>
      <c r="AP20" t="s">
        <v>208</v>
      </c>
      <c r="AQ20" t="s">
        <v>209</v>
      </c>
      <c r="AR20" t="s">
        <v>210</v>
      </c>
      <c r="AW20" t="s">
        <v>206</v>
      </c>
      <c r="AX20" t="s">
        <v>211</v>
      </c>
      <c r="AZ20" t="s">
        <v>209</v>
      </c>
      <c r="BI20" t="s">
        <v>212</v>
      </c>
      <c r="BJ20" t="s">
        <v>213</v>
      </c>
      <c r="BK20" t="s">
        <v>214</v>
      </c>
      <c r="BL20" t="s">
        <v>215</v>
      </c>
      <c r="BN20" t="s">
        <v>247</v>
      </c>
      <c r="BO20" t="s">
        <v>209</v>
      </c>
      <c r="BP20" t="s">
        <v>217</v>
      </c>
      <c r="BQ20" t="s">
        <v>270</v>
      </c>
      <c r="BS20" t="s">
        <v>219</v>
      </c>
      <c r="BT20" t="s">
        <v>220</v>
      </c>
      <c r="BU20" t="s">
        <v>206</v>
      </c>
      <c r="BX20" t="s">
        <v>221</v>
      </c>
      <c r="BY20" t="s">
        <v>221</v>
      </c>
      <c r="CA20" t="s">
        <v>287</v>
      </c>
      <c r="CC20" t="s">
        <v>334</v>
      </c>
      <c r="CD20" t="s">
        <v>223</v>
      </c>
      <c r="CE20" t="s">
        <v>242</v>
      </c>
      <c r="CJ20" t="s">
        <v>206</v>
      </c>
      <c r="CK20" t="s">
        <v>230</v>
      </c>
      <c r="CL20" t="s">
        <v>231</v>
      </c>
      <c r="CM20" t="s">
        <v>232</v>
      </c>
      <c r="CN20" t="s">
        <v>233</v>
      </c>
      <c r="CP20" t="s">
        <v>212</v>
      </c>
      <c r="CQ20" t="s">
        <v>212</v>
      </c>
      <c r="CR20" t="s">
        <v>212</v>
      </c>
      <c r="CS20" t="s">
        <v>212</v>
      </c>
      <c r="CY20" t="s">
        <v>212</v>
      </c>
      <c r="DB20" t="s">
        <v>234</v>
      </c>
      <c r="DE20" t="s">
        <v>212</v>
      </c>
      <c r="DF20" t="s">
        <v>212</v>
      </c>
      <c r="DG20" t="s">
        <v>235</v>
      </c>
      <c r="DH20" t="s">
        <v>212</v>
      </c>
      <c r="DJ20" t="s">
        <v>236</v>
      </c>
      <c r="DM20" t="s">
        <v>206</v>
      </c>
    </row>
    <row r="21" spans="1:117" x14ac:dyDescent="0.3">
      <c r="A21">
        <v>348274</v>
      </c>
      <c r="B21">
        <v>314671</v>
      </c>
      <c r="C21" t="str">
        <f>"090124000021"</f>
        <v>090124000021</v>
      </c>
      <c r="D21" t="s">
        <v>335</v>
      </c>
      <c r="E21" t="s">
        <v>336</v>
      </c>
      <c r="F21" t="s">
        <v>337</v>
      </c>
      <c r="G21" s="1">
        <v>39837</v>
      </c>
      <c r="I21" t="s">
        <v>199</v>
      </c>
      <c r="J21" t="s">
        <v>200</v>
      </c>
      <c r="K21" t="s">
        <v>201</v>
      </c>
      <c r="R21" t="str">
        <f>"АНДОРРА, АКМОЛИНСКАЯ, СТЕПНОГОРСК, 10, 5"</f>
        <v>АНДОРРА, АКМОЛИНСКАЯ, СТЕПНОГОРСК, 10, 5</v>
      </c>
      <c r="S21" t="str">
        <f>"АНДОРРА, АҚМОЛА, СТЕПНОГОР, 10, 5"</f>
        <v>АНДОРРА, АҚМОЛА, СТЕПНОГОР, 10, 5</v>
      </c>
      <c r="T21" t="str">
        <f>"10, 5"</f>
        <v>10, 5</v>
      </c>
      <c r="U21" t="str">
        <f>"10, 5"</f>
        <v>10, 5</v>
      </c>
      <c r="AC21" t="str">
        <f>"2015-09-01T00:00:00"</f>
        <v>2015-09-01T00:00:00</v>
      </c>
      <c r="AD21" t="str">
        <f>"1"</f>
        <v>1</v>
      </c>
      <c r="AG21" t="s">
        <v>202</v>
      </c>
      <c r="AH21" t="str">
        <f>"ckool007@mail.ru"</f>
        <v>ckool007@mail.ru</v>
      </c>
      <c r="AI21" t="s">
        <v>203</v>
      </c>
      <c r="AJ21" t="s">
        <v>204</v>
      </c>
      <c r="AK21" t="s">
        <v>253</v>
      </c>
      <c r="AL21" t="s">
        <v>206</v>
      </c>
      <c r="AN21" t="s">
        <v>254</v>
      </c>
      <c r="AO21">
        <v>1</v>
      </c>
      <c r="AP21" t="s">
        <v>208</v>
      </c>
      <c r="AQ21" t="s">
        <v>209</v>
      </c>
      <c r="AR21" t="s">
        <v>210</v>
      </c>
      <c r="AW21" t="s">
        <v>206</v>
      </c>
      <c r="AX21" t="s">
        <v>211</v>
      </c>
      <c r="AZ21" t="s">
        <v>209</v>
      </c>
      <c r="BI21" t="s">
        <v>212</v>
      </c>
      <c r="BJ21" t="s">
        <v>213</v>
      </c>
      <c r="BK21" t="s">
        <v>214</v>
      </c>
      <c r="BL21" t="s">
        <v>215</v>
      </c>
      <c r="BN21" t="s">
        <v>216</v>
      </c>
      <c r="BO21" t="s">
        <v>209</v>
      </c>
      <c r="BP21" t="s">
        <v>241</v>
      </c>
      <c r="BQ21">
        <v>4</v>
      </c>
      <c r="BS21" t="s">
        <v>219</v>
      </c>
      <c r="BT21" t="s">
        <v>220</v>
      </c>
      <c r="BU21" t="s">
        <v>206</v>
      </c>
      <c r="BX21" t="s">
        <v>221</v>
      </c>
      <c r="BY21" t="s">
        <v>221</v>
      </c>
      <c r="CA21" t="s">
        <v>338</v>
      </c>
      <c r="CB21" t="s">
        <v>223</v>
      </c>
      <c r="CC21" t="s">
        <v>334</v>
      </c>
      <c r="CD21" t="s">
        <v>223</v>
      </c>
      <c r="CE21" t="s">
        <v>242</v>
      </c>
      <c r="CJ21" t="s">
        <v>206</v>
      </c>
      <c r="CK21" t="s">
        <v>230</v>
      </c>
      <c r="CL21" t="s">
        <v>231</v>
      </c>
      <c r="CM21" t="s">
        <v>232</v>
      </c>
      <c r="CN21" t="s">
        <v>233</v>
      </c>
      <c r="CP21" t="s">
        <v>212</v>
      </c>
      <c r="CQ21" t="s">
        <v>212</v>
      </c>
      <c r="CR21" t="s">
        <v>212</v>
      </c>
      <c r="CS21" t="s">
        <v>212</v>
      </c>
      <c r="CY21" t="s">
        <v>212</v>
      </c>
      <c r="DB21" t="s">
        <v>234</v>
      </c>
      <c r="DE21" t="s">
        <v>212</v>
      </c>
      <c r="DF21" t="s">
        <v>212</v>
      </c>
      <c r="DG21" t="s">
        <v>235</v>
      </c>
      <c r="DH21" t="s">
        <v>212</v>
      </c>
      <c r="DJ21" t="s">
        <v>236</v>
      </c>
      <c r="DM21" t="s">
        <v>206</v>
      </c>
    </row>
    <row r="22" spans="1:117" x14ac:dyDescent="0.3">
      <c r="A22">
        <v>348347</v>
      </c>
      <c r="B22">
        <v>314725</v>
      </c>
      <c r="C22" t="str">
        <f>"080520554806"</f>
        <v>080520554806</v>
      </c>
      <c r="D22" t="s">
        <v>339</v>
      </c>
      <c r="E22" t="s">
        <v>340</v>
      </c>
      <c r="F22" t="s">
        <v>341</v>
      </c>
      <c r="G22" s="1">
        <v>39588</v>
      </c>
      <c r="I22" t="s">
        <v>240</v>
      </c>
      <c r="J22" t="s">
        <v>200</v>
      </c>
      <c r="K22" t="s">
        <v>201</v>
      </c>
      <c r="Q22" t="s">
        <v>212</v>
      </c>
      <c r="R22" t="str">
        <f>"КАЗАХСТАН, АКМОЛИНСКАЯ, СТЕПНОГОРСК, 12, 68"</f>
        <v>КАЗАХСТАН, АКМОЛИНСКАЯ, СТЕПНОГОРСК, 12, 68</v>
      </c>
      <c r="S22" t="str">
        <f>"ҚАЗАҚСТАН, АҚМОЛА, СТЕПНОГОР, 12, 68"</f>
        <v>ҚАЗАҚСТАН, АҚМОЛА, СТЕПНОГОР, 12, 68</v>
      </c>
      <c r="T22" t="str">
        <f>"12, 68"</f>
        <v>12, 68</v>
      </c>
      <c r="U22" t="str">
        <f>"12, 68"</f>
        <v>12, 68</v>
      </c>
      <c r="AC22" t="str">
        <f>"2015-09-01T00:00:00"</f>
        <v>2015-09-01T00:00:00</v>
      </c>
      <c r="AD22" t="str">
        <f>"1"</f>
        <v>1</v>
      </c>
      <c r="AE22" t="str">
        <f>"2023-09-01T10:27:29"</f>
        <v>2023-09-01T10:27:29</v>
      </c>
      <c r="AF22" t="str">
        <f>"2024-05-25T10:27:29"</f>
        <v>2024-05-25T10:27:29</v>
      </c>
      <c r="AG22" t="s">
        <v>202</v>
      </c>
      <c r="AH22" t="str">
        <f>"ckool007@mail.ru"</f>
        <v>ckool007@mail.ru</v>
      </c>
      <c r="AI22" t="s">
        <v>203</v>
      </c>
      <c r="AJ22" t="s">
        <v>204</v>
      </c>
      <c r="AK22" t="s">
        <v>205</v>
      </c>
      <c r="AL22" t="s">
        <v>206</v>
      </c>
      <c r="AN22" t="s">
        <v>207</v>
      </c>
      <c r="AO22">
        <v>1</v>
      </c>
      <c r="AP22" t="s">
        <v>208</v>
      </c>
      <c r="AQ22" t="s">
        <v>209</v>
      </c>
      <c r="AR22" t="s">
        <v>210</v>
      </c>
      <c r="AW22" t="s">
        <v>206</v>
      </c>
      <c r="AX22" t="s">
        <v>211</v>
      </c>
      <c r="AZ22" t="s">
        <v>209</v>
      </c>
      <c r="BI22" t="s">
        <v>212</v>
      </c>
      <c r="BJ22" t="s">
        <v>213</v>
      </c>
      <c r="BK22" t="s">
        <v>214</v>
      </c>
      <c r="BL22" t="s">
        <v>215</v>
      </c>
      <c r="BN22" t="s">
        <v>216</v>
      </c>
      <c r="BO22" t="s">
        <v>209</v>
      </c>
      <c r="BP22" t="s">
        <v>241</v>
      </c>
      <c r="BQ22">
        <v>4</v>
      </c>
      <c r="BS22" t="s">
        <v>219</v>
      </c>
      <c r="BT22" t="s">
        <v>220</v>
      </c>
      <c r="BU22" t="s">
        <v>206</v>
      </c>
      <c r="BX22" t="s">
        <v>221</v>
      </c>
      <c r="BY22" t="s">
        <v>221</v>
      </c>
      <c r="CA22" t="s">
        <v>222</v>
      </c>
      <c r="CB22" t="s">
        <v>223</v>
      </c>
      <c r="CC22" t="s">
        <v>209</v>
      </c>
      <c r="CE22" t="s">
        <v>342</v>
      </c>
      <c r="CF22" t="s">
        <v>226</v>
      </c>
      <c r="CG22" t="s">
        <v>343</v>
      </c>
      <c r="CH22" t="s">
        <v>209</v>
      </c>
      <c r="CI22" t="s">
        <v>344</v>
      </c>
      <c r="CJ22" t="s">
        <v>206</v>
      </c>
      <c r="CK22" t="s">
        <v>230</v>
      </c>
      <c r="CL22" t="s">
        <v>231</v>
      </c>
      <c r="CM22" t="s">
        <v>232</v>
      </c>
      <c r="CN22" t="s">
        <v>233</v>
      </c>
      <c r="CP22" t="s">
        <v>212</v>
      </c>
      <c r="CQ22" t="s">
        <v>212</v>
      </c>
      <c r="CR22" t="s">
        <v>212</v>
      </c>
      <c r="CS22" t="s">
        <v>212</v>
      </c>
      <c r="CY22" t="s">
        <v>212</v>
      </c>
      <c r="DB22" t="s">
        <v>234</v>
      </c>
      <c r="DE22" t="s">
        <v>212</v>
      </c>
      <c r="DF22" t="s">
        <v>212</v>
      </c>
      <c r="DG22" t="s">
        <v>235</v>
      </c>
      <c r="DH22" t="s">
        <v>212</v>
      </c>
      <c r="DJ22" t="s">
        <v>236</v>
      </c>
      <c r="DM22" t="s">
        <v>212</v>
      </c>
    </row>
    <row r="23" spans="1:117" x14ac:dyDescent="0.3">
      <c r="A23">
        <v>348492</v>
      </c>
      <c r="B23">
        <v>314852</v>
      </c>
      <c r="C23" t="str">
        <f>"080606554734"</f>
        <v>080606554734</v>
      </c>
      <c r="D23" t="s">
        <v>345</v>
      </c>
      <c r="E23" t="s">
        <v>289</v>
      </c>
      <c r="F23" t="s">
        <v>321</v>
      </c>
      <c r="G23" s="1">
        <v>39601</v>
      </c>
      <c r="I23" t="s">
        <v>240</v>
      </c>
      <c r="J23" t="s">
        <v>200</v>
      </c>
      <c r="K23" t="s">
        <v>260</v>
      </c>
      <c r="R23" t="str">
        <f>"АНДОРРА, АКМОЛИНСКАЯ, СТЕПНОГОРСК, 34, 51"</f>
        <v>АНДОРРА, АКМОЛИНСКАЯ, СТЕПНОГОРСК, 34, 51</v>
      </c>
      <c r="S23" t="str">
        <f>"АНДОРРА, АҚМОЛА, СТЕПНОГОР, 34, 51"</f>
        <v>АНДОРРА, АҚМОЛА, СТЕПНОГОР, 34, 51</v>
      </c>
      <c r="T23" t="str">
        <f>"34, 51"</f>
        <v>34, 51</v>
      </c>
      <c r="U23" t="str">
        <f>"34, 51"</f>
        <v>34, 51</v>
      </c>
      <c r="AC23" t="str">
        <f>"2015-09-01T00:00:00"</f>
        <v>2015-09-01T00:00:00</v>
      </c>
      <c r="AD23" t="str">
        <f>"1"</f>
        <v>1</v>
      </c>
      <c r="AG23" t="s">
        <v>202</v>
      </c>
      <c r="AH23" t="str">
        <f>"ckool007@mail.ru"</f>
        <v>ckool007@mail.ru</v>
      </c>
      <c r="AI23" t="s">
        <v>203</v>
      </c>
      <c r="AJ23" t="s">
        <v>204</v>
      </c>
      <c r="AK23" t="s">
        <v>246</v>
      </c>
      <c r="AL23" t="s">
        <v>206</v>
      </c>
      <c r="AN23" t="s">
        <v>207</v>
      </c>
      <c r="AO23">
        <v>1</v>
      </c>
      <c r="AP23" t="s">
        <v>208</v>
      </c>
      <c r="AQ23" t="s">
        <v>209</v>
      </c>
      <c r="AR23" t="s">
        <v>210</v>
      </c>
      <c r="AW23" t="s">
        <v>206</v>
      </c>
      <c r="AX23" t="s">
        <v>211</v>
      </c>
      <c r="AZ23" t="s">
        <v>209</v>
      </c>
      <c r="BI23" t="s">
        <v>212</v>
      </c>
      <c r="BJ23" t="s">
        <v>213</v>
      </c>
      <c r="BK23" t="s">
        <v>214</v>
      </c>
      <c r="BL23" t="s">
        <v>215</v>
      </c>
      <c r="BN23" t="s">
        <v>247</v>
      </c>
      <c r="BO23" t="s">
        <v>209</v>
      </c>
      <c r="BP23" t="s">
        <v>241</v>
      </c>
      <c r="BQ23">
        <v>3</v>
      </c>
      <c r="BS23" t="s">
        <v>219</v>
      </c>
      <c r="BT23" t="s">
        <v>220</v>
      </c>
      <c r="BU23" t="s">
        <v>206</v>
      </c>
      <c r="BX23" t="s">
        <v>221</v>
      </c>
      <c r="BY23" t="s">
        <v>221</v>
      </c>
      <c r="CA23" t="s">
        <v>263</v>
      </c>
      <c r="CB23" t="s">
        <v>223</v>
      </c>
      <c r="CC23" t="s">
        <v>209</v>
      </c>
      <c r="CE23" t="s">
        <v>242</v>
      </c>
      <c r="CJ23" t="s">
        <v>206</v>
      </c>
      <c r="CK23" t="s">
        <v>230</v>
      </c>
      <c r="CL23" t="s">
        <v>231</v>
      </c>
      <c r="CM23" t="s">
        <v>232</v>
      </c>
      <c r="CN23" t="s">
        <v>233</v>
      </c>
      <c r="CP23" t="s">
        <v>212</v>
      </c>
      <c r="CQ23" t="s">
        <v>212</v>
      </c>
      <c r="CR23" t="s">
        <v>212</v>
      </c>
      <c r="CS23" t="s">
        <v>212</v>
      </c>
      <c r="CY23" t="s">
        <v>212</v>
      </c>
      <c r="DB23" t="s">
        <v>234</v>
      </c>
      <c r="DE23" t="s">
        <v>212</v>
      </c>
      <c r="DF23" t="s">
        <v>212</v>
      </c>
      <c r="DG23" t="s">
        <v>235</v>
      </c>
      <c r="DH23" t="s">
        <v>212</v>
      </c>
      <c r="DJ23" t="s">
        <v>236</v>
      </c>
      <c r="DM23" t="s">
        <v>212</v>
      </c>
    </row>
    <row r="24" spans="1:117" x14ac:dyDescent="0.3">
      <c r="A24">
        <v>349290</v>
      </c>
      <c r="B24">
        <v>315522</v>
      </c>
      <c r="C24" t="str">
        <f>"111103602704"</f>
        <v>111103602704</v>
      </c>
      <c r="D24" t="s">
        <v>346</v>
      </c>
      <c r="E24" t="s">
        <v>347</v>
      </c>
      <c r="F24" t="s">
        <v>305</v>
      </c>
      <c r="G24" s="1">
        <v>40850</v>
      </c>
      <c r="I24" t="s">
        <v>199</v>
      </c>
      <c r="J24" t="s">
        <v>200</v>
      </c>
      <c r="K24" t="s">
        <v>260</v>
      </c>
      <c r="R24" t="str">
        <f>"КАЗАХСТАН, АКМОЛИНСКАЯ, СТЕПНОГОРСК, 83, 80"</f>
        <v>КАЗАХСТАН, АКМОЛИНСКАЯ, СТЕПНОГОРСК, 83, 80</v>
      </c>
      <c r="S24" t="str">
        <f>"ҚАЗАҚСТАН, АҚМОЛА, СТЕПНОГОР, 83, 80"</f>
        <v>ҚАЗАҚСТАН, АҚМОЛА, СТЕПНОГОР, 83, 80</v>
      </c>
      <c r="T24" t="str">
        <f>"83, 80"</f>
        <v>83, 80</v>
      </c>
      <c r="U24" t="str">
        <f>"83, 80"</f>
        <v>83, 80</v>
      </c>
      <c r="AC24" t="str">
        <f>"2018-08-29T00:00:00"</f>
        <v>2018-08-29T00:00:00</v>
      </c>
      <c r="AD24" t="str">
        <f>"140"</f>
        <v>140</v>
      </c>
      <c r="AE24" t="str">
        <f>"2023-09-01T17:28:34"</f>
        <v>2023-09-01T17:28:34</v>
      </c>
      <c r="AF24" t="str">
        <f>"2024-05-25T17:28:34"</f>
        <v>2024-05-25T17:28:34</v>
      </c>
      <c r="AG24" t="s">
        <v>202</v>
      </c>
      <c r="AI24" t="s">
        <v>299</v>
      </c>
      <c r="AJ24" t="s">
        <v>348</v>
      </c>
      <c r="AK24" t="s">
        <v>205</v>
      </c>
      <c r="AL24" t="s">
        <v>206</v>
      </c>
      <c r="AN24" t="s">
        <v>207</v>
      </c>
      <c r="AO24">
        <v>1</v>
      </c>
      <c r="AP24" t="s">
        <v>208</v>
      </c>
      <c r="AQ24" t="s">
        <v>209</v>
      </c>
      <c r="AR24" t="s">
        <v>307</v>
      </c>
      <c r="AW24" t="s">
        <v>206</v>
      </c>
      <c r="AX24" t="s">
        <v>211</v>
      </c>
      <c r="AZ24" t="s">
        <v>209</v>
      </c>
      <c r="BI24" t="s">
        <v>212</v>
      </c>
      <c r="BJ24" t="s">
        <v>213</v>
      </c>
      <c r="BK24" t="s">
        <v>214</v>
      </c>
      <c r="BL24" t="s">
        <v>215</v>
      </c>
      <c r="BN24" t="s">
        <v>247</v>
      </c>
      <c r="BO24" t="s">
        <v>209</v>
      </c>
      <c r="BP24" t="s">
        <v>241</v>
      </c>
      <c r="BQ24">
        <v>3</v>
      </c>
      <c r="BS24" t="s">
        <v>219</v>
      </c>
      <c r="BT24" t="s">
        <v>220</v>
      </c>
      <c r="BU24" t="s">
        <v>206</v>
      </c>
      <c r="BX24" t="s">
        <v>221</v>
      </c>
      <c r="BY24" t="s">
        <v>221</v>
      </c>
      <c r="CA24" t="s">
        <v>263</v>
      </c>
      <c r="CB24" t="s">
        <v>223</v>
      </c>
      <c r="CC24" t="s">
        <v>224</v>
      </c>
      <c r="CD24" t="s">
        <v>349</v>
      </c>
      <c r="CE24" t="s">
        <v>242</v>
      </c>
      <c r="CJ24" t="s">
        <v>206</v>
      </c>
      <c r="CK24" t="s">
        <v>230</v>
      </c>
      <c r="CL24" t="s">
        <v>231</v>
      </c>
      <c r="CM24" t="s">
        <v>232</v>
      </c>
      <c r="CN24" t="s">
        <v>233</v>
      </c>
      <c r="CP24" t="s">
        <v>212</v>
      </c>
      <c r="CQ24" t="s">
        <v>212</v>
      </c>
      <c r="CR24" t="s">
        <v>212</v>
      </c>
      <c r="CS24" t="s">
        <v>212</v>
      </c>
      <c r="CY24" t="s">
        <v>212</v>
      </c>
      <c r="DB24" t="s">
        <v>234</v>
      </c>
      <c r="DE24" t="s">
        <v>212</v>
      </c>
      <c r="DF24" t="s">
        <v>212</v>
      </c>
      <c r="DG24" t="s">
        <v>235</v>
      </c>
      <c r="DH24" t="s">
        <v>212</v>
      </c>
      <c r="DJ24" t="s">
        <v>236</v>
      </c>
      <c r="DM24" t="s">
        <v>212</v>
      </c>
    </row>
    <row r="25" spans="1:117" x14ac:dyDescent="0.3">
      <c r="A25">
        <v>349405</v>
      </c>
      <c r="B25">
        <v>315617</v>
      </c>
      <c r="C25" t="str">
        <f>"101029604876"</f>
        <v>101029604876</v>
      </c>
      <c r="D25" t="s">
        <v>350</v>
      </c>
      <c r="E25" t="s">
        <v>351</v>
      </c>
      <c r="F25" t="s">
        <v>352</v>
      </c>
      <c r="G25" s="1">
        <v>40480</v>
      </c>
      <c r="I25" t="s">
        <v>199</v>
      </c>
      <c r="J25" t="s">
        <v>200</v>
      </c>
      <c r="K25" t="s">
        <v>306</v>
      </c>
      <c r="Q25" t="s">
        <v>212</v>
      </c>
      <c r="R25" t="str">
        <f>"КАЗАХСТАН, АКМОЛИНСКАЯ, СТЕПНОГОРСК, СТЕПНОГОРСК, 18, 23"</f>
        <v>КАЗАХСТАН, АКМОЛИНСКАЯ, СТЕПНОГОРСК, СТЕПНОГОРСК, 18, 23</v>
      </c>
      <c r="S25" t="str">
        <f>"ҚАЗАҚСТАН, АҚМОЛА, СТЕПНОГОР, СТЕПНОГОРСК, 18, 23"</f>
        <v>ҚАЗАҚСТАН, АҚМОЛА, СТЕПНОГОР, СТЕПНОГОРСК, 18, 23</v>
      </c>
      <c r="T25" t="str">
        <f>"СТЕПНОГОРСК, 18, 23"</f>
        <v>СТЕПНОГОРСК, 18, 23</v>
      </c>
      <c r="U25" t="str">
        <f>"СТЕПНОГОРСК, 18, 23"</f>
        <v>СТЕПНОГОРСК, 18, 23</v>
      </c>
      <c r="AC25" t="str">
        <f>"2017-08-29T00:00:00"</f>
        <v>2017-08-29T00:00:00</v>
      </c>
      <c r="AD25" t="str">
        <f>"112"</f>
        <v>112</v>
      </c>
      <c r="AG25" t="s">
        <v>202</v>
      </c>
      <c r="AI25" t="s">
        <v>274</v>
      </c>
      <c r="AJ25" t="s">
        <v>300</v>
      </c>
      <c r="AK25" t="s">
        <v>205</v>
      </c>
      <c r="AL25" t="s">
        <v>206</v>
      </c>
      <c r="AN25" t="s">
        <v>207</v>
      </c>
      <c r="AO25">
        <v>1</v>
      </c>
      <c r="AP25" t="s">
        <v>208</v>
      </c>
      <c r="AQ25" t="s">
        <v>209</v>
      </c>
      <c r="AR25" t="s">
        <v>210</v>
      </c>
      <c r="AW25" t="s">
        <v>206</v>
      </c>
      <c r="AX25" t="s">
        <v>211</v>
      </c>
      <c r="AZ25" t="s">
        <v>209</v>
      </c>
      <c r="BI25" t="s">
        <v>212</v>
      </c>
      <c r="BJ25" t="s">
        <v>213</v>
      </c>
      <c r="BK25" t="s">
        <v>214</v>
      </c>
      <c r="BL25" t="s">
        <v>215</v>
      </c>
      <c r="BN25" t="s">
        <v>281</v>
      </c>
      <c r="BO25" t="s">
        <v>209</v>
      </c>
      <c r="BP25" t="s">
        <v>241</v>
      </c>
      <c r="BQ25">
        <v>5</v>
      </c>
      <c r="BS25" t="s">
        <v>219</v>
      </c>
      <c r="BT25" t="s">
        <v>220</v>
      </c>
      <c r="BU25" t="s">
        <v>206</v>
      </c>
      <c r="BX25" t="s">
        <v>234</v>
      </c>
      <c r="BY25" t="s">
        <v>234</v>
      </c>
      <c r="CA25" t="s">
        <v>222</v>
      </c>
      <c r="CB25" t="s">
        <v>223</v>
      </c>
      <c r="CC25" t="s">
        <v>353</v>
      </c>
      <c r="CD25" t="s">
        <v>223</v>
      </c>
      <c r="CE25" t="s">
        <v>225</v>
      </c>
      <c r="CF25" t="s">
        <v>226</v>
      </c>
      <c r="CG25" t="s">
        <v>227</v>
      </c>
      <c r="CH25" t="s">
        <v>228</v>
      </c>
      <c r="CI25" t="s">
        <v>354</v>
      </c>
      <c r="CJ25" t="s">
        <v>206</v>
      </c>
      <c r="CK25" t="s">
        <v>230</v>
      </c>
      <c r="CL25" t="s">
        <v>231</v>
      </c>
      <c r="CM25" t="s">
        <v>232</v>
      </c>
      <c r="CN25" t="s">
        <v>233</v>
      </c>
      <c r="CP25" t="s">
        <v>212</v>
      </c>
      <c r="CQ25" t="s">
        <v>212</v>
      </c>
      <c r="CR25" t="s">
        <v>212</v>
      </c>
      <c r="CS25" t="s">
        <v>212</v>
      </c>
      <c r="CY25" t="s">
        <v>212</v>
      </c>
      <c r="DB25" t="s">
        <v>234</v>
      </c>
      <c r="DE25" t="s">
        <v>212</v>
      </c>
      <c r="DF25" t="s">
        <v>212</v>
      </c>
      <c r="DG25" t="s">
        <v>235</v>
      </c>
      <c r="DH25" t="s">
        <v>212</v>
      </c>
      <c r="DJ25" t="s">
        <v>236</v>
      </c>
      <c r="DM25" t="s">
        <v>212</v>
      </c>
    </row>
    <row r="26" spans="1:117" x14ac:dyDescent="0.3">
      <c r="A26">
        <v>350100</v>
      </c>
      <c r="B26">
        <v>316207</v>
      </c>
      <c r="C26" t="str">
        <f>"100529654322"</f>
        <v>100529654322</v>
      </c>
      <c r="D26" t="s">
        <v>355</v>
      </c>
      <c r="E26" t="s">
        <v>312</v>
      </c>
      <c r="F26" t="s">
        <v>356</v>
      </c>
      <c r="G26" s="1">
        <v>40327</v>
      </c>
      <c r="I26" t="s">
        <v>199</v>
      </c>
      <c r="J26" t="s">
        <v>200</v>
      </c>
      <c r="K26" t="s">
        <v>201</v>
      </c>
      <c r="Q26" t="s">
        <v>212</v>
      </c>
      <c r="R26" t="str">
        <f>"КАЗАХСТАН, АКМОЛИНСКАЯ, СТЕПНОГОРСК, -, 86, 13"</f>
        <v>КАЗАХСТАН, АКМОЛИНСКАЯ, СТЕПНОГОРСК, -, 86, 13</v>
      </c>
      <c r="S26" t="str">
        <f>"ҚАЗАҚСТАН, АҚМОЛА, СТЕПНОГОР, -, 86, 13"</f>
        <v>ҚАЗАҚСТАН, АҚМОЛА, СТЕПНОГОР, -, 86, 13</v>
      </c>
      <c r="T26" t="str">
        <f>"-, 86, 13"</f>
        <v>-, 86, 13</v>
      </c>
      <c r="U26" t="str">
        <f>"-, 86, 13"</f>
        <v>-, 86, 13</v>
      </c>
      <c r="AC26" t="str">
        <f>"2017-08-29T00:00:00"</f>
        <v>2017-08-29T00:00:00</v>
      </c>
      <c r="AD26" t="str">
        <f>"112"</f>
        <v>112</v>
      </c>
      <c r="AE26" t="str">
        <f>"2023-09-01T08:42:12"</f>
        <v>2023-09-01T08:42:12</v>
      </c>
      <c r="AF26" t="str">
        <f>"2024-05-25T08:42:12"</f>
        <v>2024-05-25T08:42:12</v>
      </c>
      <c r="AG26" t="s">
        <v>202</v>
      </c>
      <c r="AI26" t="s">
        <v>274</v>
      </c>
      <c r="AJ26" t="s">
        <v>300</v>
      </c>
      <c r="AK26" t="s">
        <v>205</v>
      </c>
      <c r="AL26" t="s">
        <v>206</v>
      </c>
      <c r="AN26" t="s">
        <v>207</v>
      </c>
      <c r="AO26">
        <v>1</v>
      </c>
      <c r="AP26" t="s">
        <v>208</v>
      </c>
      <c r="AQ26" t="s">
        <v>209</v>
      </c>
      <c r="AR26" t="s">
        <v>210</v>
      </c>
      <c r="AW26" t="s">
        <v>206</v>
      </c>
      <c r="AX26" t="s">
        <v>211</v>
      </c>
      <c r="AZ26" t="s">
        <v>209</v>
      </c>
      <c r="BI26" t="s">
        <v>212</v>
      </c>
      <c r="BJ26" t="s">
        <v>213</v>
      </c>
      <c r="BK26" t="s">
        <v>214</v>
      </c>
      <c r="BL26" t="s">
        <v>357</v>
      </c>
      <c r="BN26" t="s">
        <v>281</v>
      </c>
      <c r="BO26" t="s">
        <v>209</v>
      </c>
      <c r="BP26" t="s">
        <v>241</v>
      </c>
      <c r="BQ26">
        <v>5</v>
      </c>
      <c r="BS26" t="s">
        <v>219</v>
      </c>
      <c r="BT26" t="s">
        <v>220</v>
      </c>
      <c r="BU26" t="s">
        <v>206</v>
      </c>
      <c r="BX26" t="s">
        <v>221</v>
      </c>
      <c r="BY26" t="s">
        <v>221</v>
      </c>
      <c r="CA26" t="s">
        <v>222</v>
      </c>
      <c r="CB26" t="s">
        <v>223</v>
      </c>
      <c r="CC26" t="s">
        <v>222</v>
      </c>
      <c r="CD26" t="s">
        <v>223</v>
      </c>
      <c r="CE26" t="s">
        <v>242</v>
      </c>
      <c r="CJ26" t="s">
        <v>206</v>
      </c>
      <c r="CK26" t="s">
        <v>230</v>
      </c>
      <c r="CL26" t="s">
        <v>231</v>
      </c>
      <c r="CM26" t="s">
        <v>232</v>
      </c>
      <c r="CN26" t="s">
        <v>233</v>
      </c>
      <c r="CP26" t="s">
        <v>212</v>
      </c>
      <c r="CQ26" t="s">
        <v>212</v>
      </c>
      <c r="CR26" t="s">
        <v>212</v>
      </c>
      <c r="CS26" t="s">
        <v>212</v>
      </c>
      <c r="CY26" t="s">
        <v>212</v>
      </c>
      <c r="DB26" t="s">
        <v>234</v>
      </c>
      <c r="DE26" t="s">
        <v>212</v>
      </c>
      <c r="DF26" t="s">
        <v>212</v>
      </c>
      <c r="DG26" t="s">
        <v>235</v>
      </c>
      <c r="DH26" t="s">
        <v>212</v>
      </c>
      <c r="DJ26" t="s">
        <v>236</v>
      </c>
      <c r="DM26" t="s">
        <v>212</v>
      </c>
    </row>
    <row r="27" spans="1:117" x14ac:dyDescent="0.3">
      <c r="A27">
        <v>350294</v>
      </c>
      <c r="B27">
        <v>316371</v>
      </c>
      <c r="C27" t="str">
        <f>"100922652362"</f>
        <v>100922652362</v>
      </c>
      <c r="D27" t="s">
        <v>358</v>
      </c>
      <c r="E27" t="s">
        <v>359</v>
      </c>
      <c r="F27" t="s">
        <v>360</v>
      </c>
      <c r="G27" s="1">
        <v>40443</v>
      </c>
      <c r="I27" t="s">
        <v>199</v>
      </c>
      <c r="J27" t="s">
        <v>200</v>
      </c>
      <c r="K27" t="s">
        <v>201</v>
      </c>
      <c r="R27" t="str">
        <f>"КАЗАХСТАН, АКМОЛИНСКАЯ, СТЕПНОГОРСК, 12, 116"</f>
        <v>КАЗАХСТАН, АКМОЛИНСКАЯ, СТЕПНОГОРСК, 12, 116</v>
      </c>
      <c r="S27" t="str">
        <f>"ҚАЗАҚСТАН, АҚМОЛА, СТЕПНОГОР, 12, 116"</f>
        <v>ҚАЗАҚСТАН, АҚМОЛА, СТЕПНОГОР, 12, 116</v>
      </c>
      <c r="T27" t="str">
        <f>"12, 116"</f>
        <v>12, 116</v>
      </c>
      <c r="U27" t="str">
        <f>"12, 116"</f>
        <v>12, 116</v>
      </c>
      <c r="AC27" t="str">
        <f>"2017-08-29T00:00:00"</f>
        <v>2017-08-29T00:00:00</v>
      </c>
      <c r="AD27" t="str">
        <f>"112"</f>
        <v>112</v>
      </c>
      <c r="AG27" t="s">
        <v>202</v>
      </c>
      <c r="AI27" t="s">
        <v>274</v>
      </c>
      <c r="AJ27" t="s">
        <v>300</v>
      </c>
      <c r="AK27" t="s">
        <v>253</v>
      </c>
      <c r="AL27" t="s">
        <v>206</v>
      </c>
      <c r="AN27" t="s">
        <v>254</v>
      </c>
      <c r="AO27">
        <v>1</v>
      </c>
      <c r="AP27" t="s">
        <v>208</v>
      </c>
      <c r="AQ27" t="s">
        <v>209</v>
      </c>
      <c r="AR27" t="s">
        <v>210</v>
      </c>
      <c r="AW27" t="s">
        <v>206</v>
      </c>
      <c r="AX27" t="s">
        <v>211</v>
      </c>
      <c r="AZ27" t="s">
        <v>209</v>
      </c>
      <c r="BI27" t="s">
        <v>212</v>
      </c>
      <c r="BJ27" t="s">
        <v>213</v>
      </c>
      <c r="BK27" t="s">
        <v>214</v>
      </c>
      <c r="BL27" t="s">
        <v>215</v>
      </c>
      <c r="BN27" t="s">
        <v>281</v>
      </c>
      <c r="BO27" t="s">
        <v>209</v>
      </c>
      <c r="BP27" t="s">
        <v>241</v>
      </c>
      <c r="BQ27">
        <v>5</v>
      </c>
      <c r="BS27" t="s">
        <v>219</v>
      </c>
      <c r="BT27" t="s">
        <v>220</v>
      </c>
      <c r="BU27" t="s">
        <v>206</v>
      </c>
      <c r="BX27" t="s">
        <v>221</v>
      </c>
      <c r="BY27" t="s">
        <v>221</v>
      </c>
      <c r="CA27" t="s">
        <v>222</v>
      </c>
      <c r="CB27" t="s">
        <v>223</v>
      </c>
      <c r="CC27" t="s">
        <v>353</v>
      </c>
      <c r="CD27" t="s">
        <v>223</v>
      </c>
      <c r="CE27" t="s">
        <v>225</v>
      </c>
      <c r="CF27" t="s">
        <v>226</v>
      </c>
      <c r="CG27" t="s">
        <v>227</v>
      </c>
      <c r="CH27" t="s">
        <v>228</v>
      </c>
      <c r="CI27" t="s">
        <v>361</v>
      </c>
      <c r="CJ27" t="s">
        <v>206</v>
      </c>
      <c r="CK27" t="s">
        <v>230</v>
      </c>
      <c r="CL27" t="s">
        <v>231</v>
      </c>
      <c r="CM27" t="s">
        <v>232</v>
      </c>
      <c r="CN27" t="s">
        <v>233</v>
      </c>
      <c r="CP27" t="s">
        <v>212</v>
      </c>
      <c r="CQ27" t="s">
        <v>212</v>
      </c>
      <c r="CR27" t="s">
        <v>212</v>
      </c>
      <c r="CS27" t="s">
        <v>212</v>
      </c>
      <c r="CY27" t="s">
        <v>212</v>
      </c>
      <c r="DB27" t="s">
        <v>234</v>
      </c>
      <c r="DE27" t="s">
        <v>212</v>
      </c>
      <c r="DF27" t="s">
        <v>212</v>
      </c>
      <c r="DG27" t="s">
        <v>235</v>
      </c>
      <c r="DH27" t="s">
        <v>212</v>
      </c>
      <c r="DJ27" t="s">
        <v>236</v>
      </c>
      <c r="DM27" t="s">
        <v>212</v>
      </c>
    </row>
    <row r="28" spans="1:117" x14ac:dyDescent="0.3">
      <c r="A28">
        <v>350387</v>
      </c>
      <c r="B28">
        <v>316452</v>
      </c>
      <c r="C28" t="str">
        <f>"090409550168"</f>
        <v>090409550168</v>
      </c>
      <c r="D28" t="s">
        <v>362</v>
      </c>
      <c r="E28" t="s">
        <v>363</v>
      </c>
      <c r="F28" t="s">
        <v>364</v>
      </c>
      <c r="G28" s="1">
        <v>39912</v>
      </c>
      <c r="I28" t="s">
        <v>240</v>
      </c>
      <c r="J28" t="s">
        <v>200</v>
      </c>
      <c r="K28" t="s">
        <v>201</v>
      </c>
      <c r="R28" t="str">
        <f>"АНДОРРА, АКМОЛИНСКАЯ, СТЕПНОГОРСК, СТЕПНОГОРСК, 48, 49"</f>
        <v>АНДОРРА, АКМОЛИНСКАЯ, СТЕПНОГОРСК, СТЕПНОГОРСК, 48, 49</v>
      </c>
      <c r="S28" t="str">
        <f>"АНДОРРА, АҚМОЛА, СТЕПНОГОР, СТЕПНОГОРСК, 48, 49"</f>
        <v>АНДОРРА, АҚМОЛА, СТЕПНОГОР, СТЕПНОГОРСК, 48, 49</v>
      </c>
      <c r="T28" t="str">
        <f>"СТЕПНОГОРСК, 48, 49"</f>
        <v>СТЕПНОГОРСК, 48, 49</v>
      </c>
      <c r="U28" t="str">
        <f>"СТЕПНОГОРСК, 48, 49"</f>
        <v>СТЕПНОГОРСК, 48, 49</v>
      </c>
      <c r="AC28" t="str">
        <f>"2015-09-01T00:00:00"</f>
        <v>2015-09-01T00:00:00</v>
      </c>
      <c r="AD28" t="str">
        <f>"1"</f>
        <v>1</v>
      </c>
      <c r="AG28" t="s">
        <v>202</v>
      </c>
      <c r="AH28" t="str">
        <f>"ckool007@mail.ru"</f>
        <v>ckool007@mail.ru</v>
      </c>
      <c r="AI28" t="s">
        <v>203</v>
      </c>
      <c r="AJ28" t="s">
        <v>286</v>
      </c>
      <c r="AK28" t="s">
        <v>246</v>
      </c>
      <c r="AL28" t="s">
        <v>206</v>
      </c>
      <c r="AN28" t="s">
        <v>207</v>
      </c>
      <c r="AO28">
        <v>1</v>
      </c>
      <c r="AP28" t="s">
        <v>208</v>
      </c>
      <c r="AQ28" t="s">
        <v>209</v>
      </c>
      <c r="AR28" t="s">
        <v>210</v>
      </c>
      <c r="AW28" t="s">
        <v>206</v>
      </c>
      <c r="AX28" t="s">
        <v>211</v>
      </c>
      <c r="AZ28" t="s">
        <v>209</v>
      </c>
      <c r="BI28" t="s">
        <v>212</v>
      </c>
      <c r="BJ28" t="s">
        <v>213</v>
      </c>
      <c r="BK28" t="s">
        <v>214</v>
      </c>
      <c r="BL28" t="s">
        <v>215</v>
      </c>
      <c r="BN28" t="s">
        <v>247</v>
      </c>
      <c r="BO28" t="s">
        <v>209</v>
      </c>
      <c r="BP28" t="s">
        <v>241</v>
      </c>
      <c r="BQ28">
        <v>3</v>
      </c>
      <c r="BS28" t="s">
        <v>219</v>
      </c>
      <c r="BT28" t="s">
        <v>220</v>
      </c>
      <c r="BU28" t="s">
        <v>206</v>
      </c>
      <c r="BX28" t="s">
        <v>221</v>
      </c>
      <c r="BY28" t="s">
        <v>221</v>
      </c>
      <c r="CA28" t="s">
        <v>365</v>
      </c>
      <c r="CB28" t="s">
        <v>223</v>
      </c>
      <c r="CC28" t="s">
        <v>209</v>
      </c>
      <c r="CE28" t="s">
        <v>242</v>
      </c>
      <c r="CJ28" t="s">
        <v>206</v>
      </c>
      <c r="CK28" t="s">
        <v>291</v>
      </c>
      <c r="CM28" t="s">
        <v>292</v>
      </c>
      <c r="CN28" t="s">
        <v>233</v>
      </c>
      <c r="CP28" t="s">
        <v>212</v>
      </c>
      <c r="CQ28" t="s">
        <v>212</v>
      </c>
      <c r="CR28" t="s">
        <v>212</v>
      </c>
      <c r="CS28" t="s">
        <v>212</v>
      </c>
      <c r="CY28" t="s">
        <v>212</v>
      </c>
      <c r="DB28" t="s">
        <v>234</v>
      </c>
      <c r="DE28" t="s">
        <v>212</v>
      </c>
      <c r="DF28" t="s">
        <v>212</v>
      </c>
      <c r="DG28" t="s">
        <v>235</v>
      </c>
      <c r="DH28" t="s">
        <v>212</v>
      </c>
      <c r="DJ28" t="s">
        <v>236</v>
      </c>
      <c r="DM28" t="s">
        <v>206</v>
      </c>
    </row>
    <row r="29" spans="1:117" x14ac:dyDescent="0.3">
      <c r="A29">
        <v>350453</v>
      </c>
      <c r="B29">
        <v>316515</v>
      </c>
      <c r="C29" t="str">
        <f>"090829652630"</f>
        <v>090829652630</v>
      </c>
      <c r="D29" t="s">
        <v>366</v>
      </c>
      <c r="E29" t="s">
        <v>367</v>
      </c>
      <c r="F29" t="s">
        <v>368</v>
      </c>
      <c r="G29" s="1">
        <v>40054</v>
      </c>
      <c r="I29" t="s">
        <v>199</v>
      </c>
      <c r="J29" t="s">
        <v>200</v>
      </c>
      <c r="K29" t="s">
        <v>369</v>
      </c>
      <c r="R29" t="str">
        <f>"АНДОРРА, АКМОЛИНСКАЯ, СТЕПНОГОРСК, 21, 87"</f>
        <v>АНДОРРА, АКМОЛИНСКАЯ, СТЕПНОГОРСК, 21, 87</v>
      </c>
      <c r="S29" t="str">
        <f>"АНДОРРА, АҚМОЛА, СТЕПНОГОР, 21, 87"</f>
        <v>АНДОРРА, АҚМОЛА, СТЕПНОГОР, 21, 87</v>
      </c>
      <c r="T29" t="str">
        <f>"21, 87"</f>
        <v>21, 87</v>
      </c>
      <c r="U29" t="str">
        <f>"21, 87"</f>
        <v>21, 87</v>
      </c>
      <c r="AC29" t="str">
        <f>"2016-09-01T00:00:00"</f>
        <v>2016-09-01T00:00:00</v>
      </c>
      <c r="AD29" t="str">
        <f>"1"</f>
        <v>1</v>
      </c>
      <c r="AG29" t="s">
        <v>202</v>
      </c>
      <c r="AH29" t="str">
        <f>"ckool007@mail.ru"</f>
        <v>ckool007@mail.ru</v>
      </c>
      <c r="AI29" t="s">
        <v>299</v>
      </c>
      <c r="AJ29" t="s">
        <v>286</v>
      </c>
      <c r="AK29" t="s">
        <v>205</v>
      </c>
      <c r="AL29" t="s">
        <v>206</v>
      </c>
      <c r="AN29" t="s">
        <v>207</v>
      </c>
      <c r="AO29">
        <v>1</v>
      </c>
      <c r="AP29" t="s">
        <v>208</v>
      </c>
      <c r="AQ29" t="s">
        <v>209</v>
      </c>
      <c r="AR29" t="s">
        <v>210</v>
      </c>
      <c r="AW29" t="s">
        <v>206</v>
      </c>
      <c r="AX29" t="s">
        <v>211</v>
      </c>
      <c r="AZ29" t="s">
        <v>209</v>
      </c>
      <c r="BI29" t="s">
        <v>212</v>
      </c>
      <c r="BJ29" t="s">
        <v>213</v>
      </c>
      <c r="BK29" t="s">
        <v>214</v>
      </c>
      <c r="BL29" t="s">
        <v>215</v>
      </c>
      <c r="BN29" t="s">
        <v>216</v>
      </c>
      <c r="BO29" t="s">
        <v>209</v>
      </c>
      <c r="BP29" t="s">
        <v>217</v>
      </c>
      <c r="BQ29" t="s">
        <v>218</v>
      </c>
      <c r="BS29" t="s">
        <v>219</v>
      </c>
      <c r="BT29" t="s">
        <v>220</v>
      </c>
      <c r="BU29" t="s">
        <v>206</v>
      </c>
      <c r="BX29" t="s">
        <v>234</v>
      </c>
      <c r="BY29" t="s">
        <v>234</v>
      </c>
      <c r="CA29" t="s">
        <v>287</v>
      </c>
      <c r="CC29" t="s">
        <v>209</v>
      </c>
      <c r="CE29" t="s">
        <v>225</v>
      </c>
      <c r="CF29" t="s">
        <v>226</v>
      </c>
      <c r="CG29" t="s">
        <v>343</v>
      </c>
      <c r="CH29" t="s">
        <v>228</v>
      </c>
      <c r="CI29" t="s">
        <v>370</v>
      </c>
      <c r="CJ29" t="s">
        <v>206</v>
      </c>
      <c r="CK29" t="s">
        <v>230</v>
      </c>
      <c r="CL29" t="s">
        <v>231</v>
      </c>
      <c r="CM29" t="s">
        <v>232</v>
      </c>
      <c r="CN29" t="s">
        <v>233</v>
      </c>
      <c r="CP29" t="s">
        <v>212</v>
      </c>
      <c r="CQ29" t="s">
        <v>212</v>
      </c>
      <c r="CR29" t="s">
        <v>212</v>
      </c>
      <c r="CS29" t="s">
        <v>212</v>
      </c>
      <c r="CY29" t="s">
        <v>212</v>
      </c>
      <c r="DB29" t="s">
        <v>234</v>
      </c>
      <c r="DE29" t="s">
        <v>212</v>
      </c>
      <c r="DF29" t="s">
        <v>212</v>
      </c>
      <c r="DG29" t="s">
        <v>235</v>
      </c>
      <c r="DH29" t="s">
        <v>212</v>
      </c>
      <c r="DJ29" t="s">
        <v>236</v>
      </c>
      <c r="DM29" t="s">
        <v>212</v>
      </c>
    </row>
    <row r="30" spans="1:117" x14ac:dyDescent="0.3">
      <c r="A30">
        <v>351038</v>
      </c>
      <c r="B30">
        <v>317045</v>
      </c>
      <c r="C30" t="str">
        <f>"110322601197"</f>
        <v>110322601197</v>
      </c>
      <c r="D30" t="s">
        <v>371</v>
      </c>
      <c r="E30" t="s">
        <v>372</v>
      </c>
      <c r="F30" t="s">
        <v>373</v>
      </c>
      <c r="G30" s="1">
        <v>40624</v>
      </c>
      <c r="I30" t="s">
        <v>199</v>
      </c>
      <c r="J30" t="s">
        <v>200</v>
      </c>
      <c r="K30" t="s">
        <v>374</v>
      </c>
      <c r="R30" t="str">
        <f>"КАЗАХСТАН, АКМОЛИНСКАЯ, СТЕПНОГОРСК, 22, 18"</f>
        <v>КАЗАХСТАН, АКМОЛИНСКАЯ, СТЕПНОГОРСК, 22, 18</v>
      </c>
      <c r="S30" t="str">
        <f>"ҚАЗАҚСТАН, АҚМОЛА, СТЕПНОГОР, 22, 18"</f>
        <v>ҚАЗАҚСТАН, АҚМОЛА, СТЕПНОГОР, 22, 18</v>
      </c>
      <c r="T30" t="str">
        <f>"22, 18"</f>
        <v>22, 18</v>
      </c>
      <c r="U30" t="str">
        <f>"22, 18"</f>
        <v>22, 18</v>
      </c>
      <c r="AC30" t="str">
        <f>"2018-08-29T00:00:00"</f>
        <v>2018-08-29T00:00:00</v>
      </c>
      <c r="AD30" t="str">
        <f>"140"</f>
        <v>140</v>
      </c>
      <c r="AG30" t="s">
        <v>202</v>
      </c>
      <c r="AI30" t="s">
        <v>203</v>
      </c>
      <c r="AJ30" t="s">
        <v>348</v>
      </c>
      <c r="AK30" t="s">
        <v>261</v>
      </c>
      <c r="AL30" t="s">
        <v>206</v>
      </c>
      <c r="AN30" t="s">
        <v>207</v>
      </c>
      <c r="AO30">
        <v>1</v>
      </c>
      <c r="AP30" t="s">
        <v>208</v>
      </c>
      <c r="AQ30" t="s">
        <v>209</v>
      </c>
      <c r="AR30" t="s">
        <v>262</v>
      </c>
      <c r="AW30" t="s">
        <v>206</v>
      </c>
      <c r="AX30" t="s">
        <v>211</v>
      </c>
      <c r="AZ30" t="s">
        <v>209</v>
      </c>
      <c r="BI30" t="s">
        <v>212</v>
      </c>
      <c r="BJ30" t="s">
        <v>213</v>
      </c>
      <c r="BK30" t="s">
        <v>214</v>
      </c>
      <c r="BL30" t="s">
        <v>215</v>
      </c>
      <c r="BN30" t="s">
        <v>216</v>
      </c>
      <c r="BO30" t="s">
        <v>209</v>
      </c>
      <c r="BP30" t="s">
        <v>241</v>
      </c>
      <c r="BQ30">
        <v>4</v>
      </c>
      <c r="BS30" t="s">
        <v>219</v>
      </c>
      <c r="BT30" t="s">
        <v>220</v>
      </c>
      <c r="BU30" t="s">
        <v>206</v>
      </c>
      <c r="BX30" t="s">
        <v>234</v>
      </c>
      <c r="BY30" t="s">
        <v>234</v>
      </c>
      <c r="CA30" t="s">
        <v>263</v>
      </c>
      <c r="CB30" t="s">
        <v>223</v>
      </c>
      <c r="CC30" t="s">
        <v>222</v>
      </c>
      <c r="CD30" t="s">
        <v>223</v>
      </c>
      <c r="CE30" t="s">
        <v>242</v>
      </c>
      <c r="CJ30" t="s">
        <v>206</v>
      </c>
      <c r="CK30" t="s">
        <v>230</v>
      </c>
      <c r="CL30" t="s">
        <v>231</v>
      </c>
      <c r="CM30" t="s">
        <v>232</v>
      </c>
      <c r="CN30" t="s">
        <v>233</v>
      </c>
      <c r="CP30" t="s">
        <v>212</v>
      </c>
      <c r="CQ30" t="s">
        <v>212</v>
      </c>
      <c r="CR30" t="s">
        <v>212</v>
      </c>
      <c r="CS30" t="s">
        <v>212</v>
      </c>
      <c r="CY30" t="s">
        <v>212</v>
      </c>
      <c r="DB30" t="s">
        <v>234</v>
      </c>
      <c r="DE30" t="s">
        <v>212</v>
      </c>
      <c r="DF30" t="s">
        <v>212</v>
      </c>
      <c r="DG30" t="s">
        <v>235</v>
      </c>
      <c r="DH30" t="s">
        <v>212</v>
      </c>
      <c r="DJ30" t="s">
        <v>236</v>
      </c>
      <c r="DM30" t="s">
        <v>212</v>
      </c>
    </row>
    <row r="31" spans="1:117" x14ac:dyDescent="0.3">
      <c r="A31">
        <v>351246</v>
      </c>
      <c r="B31">
        <v>317229</v>
      </c>
      <c r="C31" t="str">
        <f>"071216552828"</f>
        <v>071216552828</v>
      </c>
      <c r="D31" t="s">
        <v>375</v>
      </c>
      <c r="E31" t="s">
        <v>376</v>
      </c>
      <c r="F31" t="s">
        <v>377</v>
      </c>
      <c r="G31" s="1">
        <v>39432</v>
      </c>
      <c r="I31" t="s">
        <v>240</v>
      </c>
      <c r="J31" t="s">
        <v>200</v>
      </c>
      <c r="K31" t="s">
        <v>260</v>
      </c>
      <c r="Q31" t="s">
        <v>212</v>
      </c>
      <c r="R31" t="str">
        <f>"КАЗАХСТАН, АКМОЛИНСКАЯ, СТЕПНОГОРСК, 37, 2"</f>
        <v>КАЗАХСТАН, АКМОЛИНСКАЯ, СТЕПНОГОРСК, 37, 2</v>
      </c>
      <c r="S31" t="str">
        <f>"ҚАЗАҚСТАН, АҚМОЛА, СТЕПНОГОР, 37, 2"</f>
        <v>ҚАЗАҚСТАН, АҚМОЛА, СТЕПНОГОР, 37, 2</v>
      </c>
      <c r="T31" t="str">
        <f>"37, 2"</f>
        <v>37, 2</v>
      </c>
      <c r="U31" t="str">
        <f>"37, 2"</f>
        <v>37, 2</v>
      </c>
      <c r="AC31" t="str">
        <f>"2015-09-01T00:00:00"</f>
        <v>2015-09-01T00:00:00</v>
      </c>
      <c r="AD31" t="str">
        <f>"1"</f>
        <v>1</v>
      </c>
      <c r="AE31" t="str">
        <f>"2023-09-01T08:35:32"</f>
        <v>2023-09-01T08:35:32</v>
      </c>
      <c r="AF31" t="str">
        <f>"2024-05-25T08:35:32"</f>
        <v>2024-05-25T08:35:32</v>
      </c>
      <c r="AG31" t="s">
        <v>202</v>
      </c>
      <c r="AH31" t="str">
        <f>"ckool007@mail.ru"</f>
        <v>ckool007@mail.ru</v>
      </c>
      <c r="AI31" t="s">
        <v>203</v>
      </c>
      <c r="AJ31" t="s">
        <v>204</v>
      </c>
      <c r="AK31" t="s">
        <v>246</v>
      </c>
      <c r="AL31" t="s">
        <v>206</v>
      </c>
      <c r="AN31" t="s">
        <v>207</v>
      </c>
      <c r="AO31">
        <v>1</v>
      </c>
      <c r="AP31" t="s">
        <v>208</v>
      </c>
      <c r="AQ31" t="s">
        <v>209</v>
      </c>
      <c r="AR31" t="s">
        <v>322</v>
      </c>
      <c r="AS31" t="str">
        <f>"236006000074"</f>
        <v>236006000074</v>
      </c>
      <c r="AT31" t="s">
        <v>323</v>
      </c>
      <c r="AU31" t="s">
        <v>324</v>
      </c>
      <c r="AV31" t="str">
        <f>"2023-11-11T20:54:15"</f>
        <v>2023-11-11T20:54:15</v>
      </c>
      <c r="AW31" t="s">
        <v>206</v>
      </c>
      <c r="AX31" t="s">
        <v>211</v>
      </c>
      <c r="AZ31" t="s">
        <v>325</v>
      </c>
      <c r="BA31" t="str">
        <f>"2023-08-09T00:00:00"</f>
        <v>2023-08-09T00:00:00</v>
      </c>
      <c r="BB31" t="str">
        <f>"3613"</f>
        <v>3613</v>
      </c>
      <c r="BC31" t="str">
        <f>"15"</f>
        <v>15</v>
      </c>
      <c r="BD31" t="str">
        <f>"2023-09-01T00:00:00"</f>
        <v>2023-09-01T00:00:00</v>
      </c>
      <c r="BE31" t="str">
        <f>"МКБ 10 М84.4 Несовершенный остеогенез 1-2 типа"</f>
        <v>МКБ 10 М84.4 Несовершенный остеогенез 1-2 типа</v>
      </c>
      <c r="BF31" t="s">
        <v>326</v>
      </c>
      <c r="BG31" t="s">
        <v>327</v>
      </c>
      <c r="BH31" t="s">
        <v>328</v>
      </c>
      <c r="BK31" t="s">
        <v>214</v>
      </c>
      <c r="BN31" t="s">
        <v>281</v>
      </c>
      <c r="BO31" t="s">
        <v>209</v>
      </c>
      <c r="BP31" t="s">
        <v>217</v>
      </c>
      <c r="BQ31" t="s">
        <v>378</v>
      </c>
      <c r="BS31" t="s">
        <v>219</v>
      </c>
      <c r="BT31" t="s">
        <v>220</v>
      </c>
      <c r="BU31" t="s">
        <v>206</v>
      </c>
      <c r="BX31" t="s">
        <v>221</v>
      </c>
      <c r="BY31" t="s">
        <v>221</v>
      </c>
      <c r="CA31" t="s">
        <v>287</v>
      </c>
      <c r="CC31" t="s">
        <v>209</v>
      </c>
      <c r="CE31" t="s">
        <v>242</v>
      </c>
      <c r="CJ31" t="s">
        <v>212</v>
      </c>
      <c r="CN31" t="s">
        <v>233</v>
      </c>
      <c r="CP31" t="s">
        <v>212</v>
      </c>
      <c r="CQ31" t="s">
        <v>212</v>
      </c>
      <c r="CR31" t="s">
        <v>212</v>
      </c>
      <c r="CS31" t="s">
        <v>212</v>
      </c>
      <c r="CY31" t="s">
        <v>206</v>
      </c>
      <c r="CZ31" t="str">
        <f>"2023-12-21T00:00:00"</f>
        <v>2023-12-21T00:00:00</v>
      </c>
      <c r="DB31" t="s">
        <v>379</v>
      </c>
      <c r="DC31" t="str">
        <f>"3613"</f>
        <v>3613</v>
      </c>
      <c r="DD31" t="str">
        <f>"2023-08-09T00:00:00"</f>
        <v>2023-08-09T00:00:00</v>
      </c>
      <c r="DE31" t="s">
        <v>212</v>
      </c>
      <c r="DF31" t="s">
        <v>212</v>
      </c>
      <c r="DG31" t="s">
        <v>235</v>
      </c>
      <c r="DH31" t="s">
        <v>212</v>
      </c>
      <c r="DJ31" t="s">
        <v>236</v>
      </c>
      <c r="DM31" t="s">
        <v>212</v>
      </c>
    </row>
    <row r="32" spans="1:117" x14ac:dyDescent="0.3">
      <c r="A32">
        <v>351487</v>
      </c>
      <c r="B32">
        <v>317449</v>
      </c>
      <c r="C32" t="str">
        <f>"101222500608"</f>
        <v>101222500608</v>
      </c>
      <c r="D32" t="s">
        <v>380</v>
      </c>
      <c r="E32" t="s">
        <v>381</v>
      </c>
      <c r="F32" t="s">
        <v>382</v>
      </c>
      <c r="G32" s="1">
        <v>40534</v>
      </c>
      <c r="I32" t="s">
        <v>240</v>
      </c>
      <c r="J32" t="s">
        <v>200</v>
      </c>
      <c r="K32" t="s">
        <v>201</v>
      </c>
      <c r="R32" t="str">
        <f>"АНДОРРА, НУР-СУЛТАН, САРЫАРКА РАЙОН, 28, 95"</f>
        <v>АНДОРРА, НУР-СУЛТАН, САРЫАРКА РАЙОН, 28, 95</v>
      </c>
      <c r="S32" t="str">
        <f>"АНДОРРА, НҰР-СҰЛТАН, САРЫАРҚА АУДАНЫ, 28, 95"</f>
        <v>АНДОРРА, НҰР-СҰЛТАН, САРЫАРҚА АУДАНЫ, 28, 95</v>
      </c>
      <c r="T32" t="str">
        <f>"28, 95"</f>
        <v>28, 95</v>
      </c>
      <c r="U32" t="str">
        <f>"28, 95"</f>
        <v>28, 95</v>
      </c>
      <c r="AC32" t="str">
        <f>"2017-08-29T00:00:00"</f>
        <v>2017-08-29T00:00:00</v>
      </c>
      <c r="AD32" t="str">
        <f>"112"</f>
        <v>112</v>
      </c>
      <c r="AG32" t="s">
        <v>202</v>
      </c>
      <c r="AI32" t="s">
        <v>269</v>
      </c>
      <c r="AJ32" t="s">
        <v>300</v>
      </c>
      <c r="AK32" t="s">
        <v>253</v>
      </c>
      <c r="AL32" t="s">
        <v>206</v>
      </c>
      <c r="AN32" t="s">
        <v>254</v>
      </c>
      <c r="AO32">
        <v>1</v>
      </c>
      <c r="AP32" t="s">
        <v>208</v>
      </c>
      <c r="AQ32" t="s">
        <v>209</v>
      </c>
      <c r="AR32" t="s">
        <v>210</v>
      </c>
      <c r="AW32" t="s">
        <v>206</v>
      </c>
      <c r="AX32" t="s">
        <v>211</v>
      </c>
      <c r="AZ32" t="s">
        <v>209</v>
      </c>
      <c r="BI32" t="s">
        <v>212</v>
      </c>
      <c r="BJ32" t="s">
        <v>213</v>
      </c>
      <c r="BK32" t="s">
        <v>214</v>
      </c>
      <c r="BL32" t="s">
        <v>215</v>
      </c>
      <c r="BN32" t="s">
        <v>247</v>
      </c>
      <c r="BO32" t="s">
        <v>209</v>
      </c>
      <c r="BP32" t="s">
        <v>241</v>
      </c>
      <c r="BQ32">
        <v>3</v>
      </c>
      <c r="BS32" t="s">
        <v>219</v>
      </c>
      <c r="BT32" t="s">
        <v>220</v>
      </c>
      <c r="BU32" t="s">
        <v>206</v>
      </c>
      <c r="BX32" t="s">
        <v>221</v>
      </c>
      <c r="BY32" t="s">
        <v>221</v>
      </c>
      <c r="CA32" t="s">
        <v>249</v>
      </c>
      <c r="CB32" t="s">
        <v>223</v>
      </c>
      <c r="CC32" t="s">
        <v>222</v>
      </c>
      <c r="CD32" t="s">
        <v>223</v>
      </c>
      <c r="CE32" t="s">
        <v>242</v>
      </c>
      <c r="CJ32" t="s">
        <v>206</v>
      </c>
      <c r="CK32" t="s">
        <v>230</v>
      </c>
      <c r="CL32" t="s">
        <v>231</v>
      </c>
      <c r="CM32" t="s">
        <v>232</v>
      </c>
      <c r="CN32" t="s">
        <v>233</v>
      </c>
      <c r="CP32" t="s">
        <v>212</v>
      </c>
      <c r="CQ32" t="s">
        <v>212</v>
      </c>
      <c r="CR32" t="s">
        <v>212</v>
      </c>
      <c r="CS32" t="s">
        <v>212</v>
      </c>
      <c r="CY32" t="s">
        <v>212</v>
      </c>
      <c r="DB32" t="s">
        <v>234</v>
      </c>
      <c r="DE32" t="s">
        <v>212</v>
      </c>
      <c r="DF32" t="s">
        <v>212</v>
      </c>
      <c r="DG32" t="s">
        <v>235</v>
      </c>
      <c r="DH32" t="s">
        <v>212</v>
      </c>
      <c r="DJ32" t="s">
        <v>236</v>
      </c>
      <c r="DM32" t="s">
        <v>212</v>
      </c>
    </row>
    <row r="33" spans="1:117" x14ac:dyDescent="0.3">
      <c r="A33">
        <v>351512</v>
      </c>
      <c r="B33">
        <v>317469</v>
      </c>
      <c r="C33" t="str">
        <f>"100415550056"</f>
        <v>100415550056</v>
      </c>
      <c r="D33" t="s">
        <v>383</v>
      </c>
      <c r="E33" t="s">
        <v>384</v>
      </c>
      <c r="F33" t="s">
        <v>239</v>
      </c>
      <c r="G33" s="1">
        <v>40283</v>
      </c>
      <c r="I33" t="s">
        <v>240</v>
      </c>
      <c r="J33" t="s">
        <v>200</v>
      </c>
      <c r="K33" t="s">
        <v>201</v>
      </c>
      <c r="Q33" t="s">
        <v>212</v>
      </c>
      <c r="R33" t="str">
        <f>"КАЗАХСТАН, АКМОЛИНСКАЯ, СТЕПНОГОРСК, 87, 134"</f>
        <v>КАЗАХСТАН, АКМОЛИНСКАЯ, СТЕПНОГОРСК, 87, 134</v>
      </c>
      <c r="S33" t="str">
        <f>"ҚАЗАҚСТАН, АҚМОЛА, СТЕПНОГОР, 87, 134"</f>
        <v>ҚАЗАҚСТАН, АҚМОЛА, СТЕПНОГОР, 87, 134</v>
      </c>
      <c r="T33" t="str">
        <f>"87, 134"</f>
        <v>87, 134</v>
      </c>
      <c r="U33" t="str">
        <f>"87, 134"</f>
        <v>87, 134</v>
      </c>
      <c r="AC33" t="str">
        <f>"2016-09-01T00:00:00"</f>
        <v>2016-09-01T00:00:00</v>
      </c>
      <c r="AD33" t="str">
        <f>"1"</f>
        <v>1</v>
      </c>
      <c r="AG33" t="s">
        <v>202</v>
      </c>
      <c r="AI33" t="s">
        <v>203</v>
      </c>
      <c r="AJ33" t="s">
        <v>300</v>
      </c>
      <c r="AK33" t="s">
        <v>205</v>
      </c>
      <c r="AL33" t="s">
        <v>206</v>
      </c>
      <c r="AN33" t="s">
        <v>207</v>
      </c>
      <c r="AO33">
        <v>1</v>
      </c>
      <c r="AP33" t="s">
        <v>208</v>
      </c>
      <c r="AQ33" t="s">
        <v>209</v>
      </c>
      <c r="AR33" t="s">
        <v>210</v>
      </c>
      <c r="AW33" t="s">
        <v>206</v>
      </c>
      <c r="AX33" t="s">
        <v>211</v>
      </c>
      <c r="AZ33" t="s">
        <v>209</v>
      </c>
      <c r="BI33" t="s">
        <v>212</v>
      </c>
      <c r="BJ33" t="s">
        <v>213</v>
      </c>
      <c r="BK33" t="s">
        <v>214</v>
      </c>
      <c r="BL33" t="s">
        <v>215</v>
      </c>
      <c r="BN33" t="s">
        <v>216</v>
      </c>
      <c r="BO33" t="s">
        <v>209</v>
      </c>
      <c r="BP33" t="s">
        <v>241</v>
      </c>
      <c r="BQ33">
        <v>4</v>
      </c>
      <c r="BS33" t="s">
        <v>219</v>
      </c>
      <c r="BT33" t="s">
        <v>220</v>
      </c>
      <c r="BU33" t="s">
        <v>212</v>
      </c>
      <c r="BX33" t="s">
        <v>221</v>
      </c>
      <c r="BY33" t="s">
        <v>221</v>
      </c>
      <c r="CA33" t="s">
        <v>222</v>
      </c>
      <c r="CB33" t="s">
        <v>223</v>
      </c>
      <c r="CC33" t="s">
        <v>222</v>
      </c>
      <c r="CD33" t="s">
        <v>223</v>
      </c>
      <c r="CE33" t="s">
        <v>242</v>
      </c>
      <c r="CJ33" t="s">
        <v>206</v>
      </c>
      <c r="CK33" t="s">
        <v>230</v>
      </c>
      <c r="CL33" t="s">
        <v>231</v>
      </c>
      <c r="CM33" t="s">
        <v>232</v>
      </c>
      <c r="CN33" t="s">
        <v>233</v>
      </c>
      <c r="CP33" t="s">
        <v>212</v>
      </c>
      <c r="CQ33" t="s">
        <v>212</v>
      </c>
      <c r="CR33" t="s">
        <v>212</v>
      </c>
      <c r="CS33" t="s">
        <v>212</v>
      </c>
      <c r="CY33" t="s">
        <v>212</v>
      </c>
      <c r="DB33" t="s">
        <v>234</v>
      </c>
      <c r="DE33" t="s">
        <v>212</v>
      </c>
      <c r="DF33" t="s">
        <v>212</v>
      </c>
      <c r="DG33" t="s">
        <v>235</v>
      </c>
      <c r="DH33" t="s">
        <v>212</v>
      </c>
      <c r="DJ33" t="s">
        <v>236</v>
      </c>
      <c r="DM33" t="s">
        <v>212</v>
      </c>
    </row>
    <row r="34" spans="1:117" x14ac:dyDescent="0.3">
      <c r="A34">
        <v>351529</v>
      </c>
      <c r="B34">
        <v>182532</v>
      </c>
      <c r="C34" t="str">
        <f>"081106553017"</f>
        <v>081106553017</v>
      </c>
      <c r="D34" t="s">
        <v>385</v>
      </c>
      <c r="E34" t="s">
        <v>386</v>
      </c>
      <c r="F34" t="s">
        <v>387</v>
      </c>
      <c r="G34" s="1">
        <v>39758</v>
      </c>
      <c r="I34" t="s">
        <v>240</v>
      </c>
      <c r="J34" t="s">
        <v>200</v>
      </c>
      <c r="K34" t="s">
        <v>201</v>
      </c>
      <c r="Q34" t="s">
        <v>212</v>
      </c>
      <c r="R34" t="str">
        <f>"АНДОРРА, АКМОЛИНСКАЯ, СТЕПНОГОРСК, 22, 37"</f>
        <v>АНДОРРА, АКМОЛИНСКАЯ, СТЕПНОГОРСК, 22, 37</v>
      </c>
      <c r="S34" t="str">
        <f>"АНДОРРА, АҚМОЛА, СТЕПНОГОР, 22, 37"</f>
        <v>АНДОРРА, АҚМОЛА, СТЕПНОГОР, 22, 37</v>
      </c>
      <c r="T34" t="str">
        <f>"22, 37"</f>
        <v>22, 37</v>
      </c>
      <c r="U34" t="str">
        <f>"22, 37"</f>
        <v>22, 37</v>
      </c>
      <c r="AC34" t="str">
        <f>"2018-02-06T00:00:00"</f>
        <v>2018-02-06T00:00:00</v>
      </c>
      <c r="AD34" t="str">
        <f>"85"</f>
        <v>85</v>
      </c>
      <c r="AE34" t="str">
        <f>"2023-09-01T10:17:07"</f>
        <v>2023-09-01T10:17:07</v>
      </c>
      <c r="AF34" t="str">
        <f>"2024-05-25T10:17:07"</f>
        <v>2024-05-25T10:17:07</v>
      </c>
      <c r="AG34" t="s">
        <v>202</v>
      </c>
      <c r="AH34" t="str">
        <f>"ckool007@mail.ru"</f>
        <v>ckool007@mail.ru</v>
      </c>
      <c r="AI34" t="s">
        <v>274</v>
      </c>
      <c r="AJ34" t="s">
        <v>204</v>
      </c>
      <c r="AK34" t="s">
        <v>253</v>
      </c>
      <c r="AL34" t="s">
        <v>206</v>
      </c>
      <c r="AN34" t="s">
        <v>254</v>
      </c>
      <c r="AO34">
        <v>1</v>
      </c>
      <c r="AP34" t="s">
        <v>208</v>
      </c>
      <c r="AQ34" t="s">
        <v>209</v>
      </c>
      <c r="AR34" t="s">
        <v>210</v>
      </c>
      <c r="AW34" t="s">
        <v>206</v>
      </c>
      <c r="AX34" t="s">
        <v>211</v>
      </c>
      <c r="AZ34" t="s">
        <v>209</v>
      </c>
      <c r="BI34" t="s">
        <v>212</v>
      </c>
      <c r="BJ34" t="s">
        <v>213</v>
      </c>
      <c r="BK34" t="s">
        <v>214</v>
      </c>
      <c r="BL34" t="s">
        <v>357</v>
      </c>
      <c r="BN34" t="s">
        <v>247</v>
      </c>
      <c r="BO34" t="s">
        <v>209</v>
      </c>
      <c r="BP34" t="s">
        <v>241</v>
      </c>
      <c r="BQ34">
        <v>3</v>
      </c>
      <c r="BS34" t="s">
        <v>219</v>
      </c>
      <c r="BT34" t="s">
        <v>220</v>
      </c>
      <c r="BU34" t="s">
        <v>206</v>
      </c>
      <c r="BX34" t="s">
        <v>221</v>
      </c>
      <c r="BY34" t="s">
        <v>221</v>
      </c>
      <c r="CA34" t="s">
        <v>338</v>
      </c>
      <c r="CB34" t="s">
        <v>223</v>
      </c>
      <c r="CC34" t="s">
        <v>209</v>
      </c>
      <c r="CE34" t="s">
        <v>242</v>
      </c>
      <c r="CJ34" t="s">
        <v>206</v>
      </c>
      <c r="CK34" t="s">
        <v>230</v>
      </c>
      <c r="CL34" t="s">
        <v>231</v>
      </c>
      <c r="CM34" t="s">
        <v>232</v>
      </c>
      <c r="CN34" t="s">
        <v>233</v>
      </c>
      <c r="CP34" t="s">
        <v>212</v>
      </c>
      <c r="CQ34" t="s">
        <v>212</v>
      </c>
      <c r="CR34" t="s">
        <v>212</v>
      </c>
      <c r="CS34" t="s">
        <v>212</v>
      </c>
      <c r="CY34" t="s">
        <v>206</v>
      </c>
      <c r="CZ34" t="str">
        <f>"2023-02-27T11:37:02"</f>
        <v>2023-02-27T11:37:02</v>
      </c>
      <c r="DB34" t="s">
        <v>234</v>
      </c>
      <c r="DE34" t="s">
        <v>212</v>
      </c>
      <c r="DF34" t="s">
        <v>212</v>
      </c>
      <c r="DG34" t="s">
        <v>235</v>
      </c>
      <c r="DH34" t="s">
        <v>212</v>
      </c>
      <c r="DJ34" t="s">
        <v>236</v>
      </c>
      <c r="DM34" t="s">
        <v>206</v>
      </c>
    </row>
    <row r="35" spans="1:117" x14ac:dyDescent="0.3">
      <c r="A35">
        <v>351967</v>
      </c>
      <c r="B35">
        <v>317853</v>
      </c>
      <c r="C35" t="str">
        <f>"090502650912"</f>
        <v>090502650912</v>
      </c>
      <c r="D35" t="s">
        <v>388</v>
      </c>
      <c r="E35" t="s">
        <v>389</v>
      </c>
      <c r="F35" t="s">
        <v>390</v>
      </c>
      <c r="G35" s="1">
        <v>39935</v>
      </c>
      <c r="I35" t="s">
        <v>199</v>
      </c>
      <c r="J35" t="s">
        <v>200</v>
      </c>
      <c r="K35" t="s">
        <v>201</v>
      </c>
      <c r="R35" t="str">
        <f>"АНДОРРА, АКМОЛИНСКАЯ, СТЕПНОГОРСК, 11, 61"</f>
        <v>АНДОРРА, АКМОЛИНСКАЯ, СТЕПНОГОРСК, 11, 61</v>
      </c>
      <c r="S35" t="str">
        <f>"АНДОРРА, АҚМОЛА, СТЕПНОГОР, 11, 61"</f>
        <v>АНДОРРА, АҚМОЛА, СТЕПНОГОР, 11, 61</v>
      </c>
      <c r="T35" t="str">
        <f>"11, 61"</f>
        <v>11, 61</v>
      </c>
      <c r="U35" t="str">
        <f>"11, 61"</f>
        <v>11, 61</v>
      </c>
      <c r="AC35" t="str">
        <f>"2016-09-01T00:00:00"</f>
        <v>2016-09-01T00:00:00</v>
      </c>
      <c r="AD35" t="str">
        <f>"1"</f>
        <v>1</v>
      </c>
      <c r="AG35" t="s">
        <v>202</v>
      </c>
      <c r="AH35" t="str">
        <f>"ckool007@mail.ru"</f>
        <v>ckool007@mail.ru</v>
      </c>
      <c r="AI35" t="s">
        <v>203</v>
      </c>
      <c r="AJ35" t="s">
        <v>286</v>
      </c>
      <c r="AK35" t="s">
        <v>253</v>
      </c>
      <c r="AL35" t="s">
        <v>206</v>
      </c>
      <c r="AN35" t="s">
        <v>254</v>
      </c>
      <c r="AO35">
        <v>1</v>
      </c>
      <c r="AP35" t="s">
        <v>208</v>
      </c>
      <c r="AQ35" t="s">
        <v>209</v>
      </c>
      <c r="AR35" t="s">
        <v>210</v>
      </c>
      <c r="AW35" t="s">
        <v>206</v>
      </c>
      <c r="AX35" t="s">
        <v>211</v>
      </c>
      <c r="AZ35" t="s">
        <v>209</v>
      </c>
      <c r="BI35" t="s">
        <v>212</v>
      </c>
      <c r="BJ35" t="s">
        <v>213</v>
      </c>
      <c r="BK35" t="s">
        <v>214</v>
      </c>
      <c r="BL35" t="s">
        <v>215</v>
      </c>
      <c r="BN35" t="s">
        <v>216</v>
      </c>
      <c r="BO35" t="s">
        <v>209</v>
      </c>
      <c r="BP35" t="s">
        <v>241</v>
      </c>
      <c r="BQ35">
        <v>4</v>
      </c>
      <c r="BS35" t="s">
        <v>219</v>
      </c>
      <c r="BT35" t="s">
        <v>220</v>
      </c>
      <c r="BU35" t="s">
        <v>206</v>
      </c>
      <c r="BX35" t="s">
        <v>221</v>
      </c>
      <c r="BY35" t="s">
        <v>221</v>
      </c>
      <c r="CA35" t="s">
        <v>317</v>
      </c>
      <c r="CB35" t="s">
        <v>223</v>
      </c>
      <c r="CC35" t="s">
        <v>209</v>
      </c>
      <c r="CE35" t="s">
        <v>342</v>
      </c>
      <c r="CF35" t="s">
        <v>391</v>
      </c>
      <c r="CG35" t="s">
        <v>392</v>
      </c>
      <c r="CH35" t="s">
        <v>209</v>
      </c>
      <c r="CI35" t="s">
        <v>393</v>
      </c>
      <c r="CJ35" t="s">
        <v>206</v>
      </c>
      <c r="CK35" t="s">
        <v>230</v>
      </c>
      <c r="CL35" t="s">
        <v>231</v>
      </c>
      <c r="CM35" t="s">
        <v>232</v>
      </c>
      <c r="CN35" t="s">
        <v>233</v>
      </c>
      <c r="CP35" t="s">
        <v>212</v>
      </c>
      <c r="CQ35" t="s">
        <v>212</v>
      </c>
      <c r="CR35" t="s">
        <v>212</v>
      </c>
      <c r="CS35" t="s">
        <v>212</v>
      </c>
      <c r="CY35" t="s">
        <v>212</v>
      </c>
      <c r="DB35" t="s">
        <v>234</v>
      </c>
      <c r="DE35" t="s">
        <v>212</v>
      </c>
      <c r="DF35" t="s">
        <v>212</v>
      </c>
      <c r="DG35" t="s">
        <v>235</v>
      </c>
      <c r="DH35" t="s">
        <v>212</v>
      </c>
      <c r="DJ35" t="s">
        <v>236</v>
      </c>
      <c r="DM35" t="s">
        <v>206</v>
      </c>
    </row>
    <row r="36" spans="1:117" x14ac:dyDescent="0.3">
      <c r="A36">
        <v>351992</v>
      </c>
      <c r="B36">
        <v>317873</v>
      </c>
      <c r="C36" t="str">
        <f>"090502650942"</f>
        <v>090502650942</v>
      </c>
      <c r="D36" t="s">
        <v>388</v>
      </c>
      <c r="E36" t="s">
        <v>394</v>
      </c>
      <c r="F36" t="s">
        <v>390</v>
      </c>
      <c r="G36" s="1">
        <v>39935</v>
      </c>
      <c r="I36" t="s">
        <v>199</v>
      </c>
      <c r="J36" t="s">
        <v>200</v>
      </c>
      <c r="K36" t="s">
        <v>201</v>
      </c>
      <c r="R36" t="str">
        <f>"КАЗАХСТАН, АКМОЛИНСКАЯ, СТЕПНОГОРСК, 11, 61"</f>
        <v>КАЗАХСТАН, АКМОЛИНСКАЯ, СТЕПНОГОРСК, 11, 61</v>
      </c>
      <c r="S36" t="str">
        <f>"ҚАЗАҚСТАН, АҚМОЛА, СТЕПНОГОР, 11, 61"</f>
        <v>ҚАЗАҚСТАН, АҚМОЛА, СТЕПНОГОР, 11, 61</v>
      </c>
      <c r="T36" t="str">
        <f>"11, 61"</f>
        <v>11, 61</v>
      </c>
      <c r="U36" t="str">
        <f>"11, 61"</f>
        <v>11, 61</v>
      </c>
      <c r="AC36" t="str">
        <f>"2016-09-01T00:00:00"</f>
        <v>2016-09-01T00:00:00</v>
      </c>
      <c r="AD36" t="str">
        <f>"1"</f>
        <v>1</v>
      </c>
      <c r="AE36" t="str">
        <f>"2023-09-01T10:20:16"</f>
        <v>2023-09-01T10:20:16</v>
      </c>
      <c r="AF36" t="str">
        <f>"2024-05-25T10:20:16"</f>
        <v>2024-05-25T10:20:16</v>
      </c>
      <c r="AG36" t="s">
        <v>202</v>
      </c>
      <c r="AH36" t="str">
        <f>"nazerke@mail.ru"</f>
        <v>nazerke@mail.ru</v>
      </c>
      <c r="AI36" t="s">
        <v>203</v>
      </c>
      <c r="AJ36" t="s">
        <v>286</v>
      </c>
      <c r="AK36" t="s">
        <v>253</v>
      </c>
      <c r="AL36" t="s">
        <v>206</v>
      </c>
      <c r="AN36" t="s">
        <v>254</v>
      </c>
      <c r="AO36">
        <v>1</v>
      </c>
      <c r="AP36" t="s">
        <v>208</v>
      </c>
      <c r="AQ36" t="s">
        <v>209</v>
      </c>
      <c r="AR36" t="s">
        <v>210</v>
      </c>
      <c r="AW36" t="s">
        <v>206</v>
      </c>
      <c r="AX36" t="s">
        <v>211</v>
      </c>
      <c r="AZ36" t="s">
        <v>209</v>
      </c>
      <c r="BI36" t="s">
        <v>212</v>
      </c>
      <c r="BJ36" t="s">
        <v>213</v>
      </c>
      <c r="BK36" t="s">
        <v>214</v>
      </c>
      <c r="BL36" t="s">
        <v>215</v>
      </c>
      <c r="BN36" t="s">
        <v>247</v>
      </c>
      <c r="BO36" t="s">
        <v>209</v>
      </c>
      <c r="BP36" t="s">
        <v>217</v>
      </c>
      <c r="BQ36" t="s">
        <v>395</v>
      </c>
      <c r="BS36" t="s">
        <v>219</v>
      </c>
      <c r="BT36" t="s">
        <v>220</v>
      </c>
      <c r="BU36" t="s">
        <v>206</v>
      </c>
      <c r="BX36" t="s">
        <v>221</v>
      </c>
      <c r="BY36" t="s">
        <v>221</v>
      </c>
      <c r="CA36" t="s">
        <v>317</v>
      </c>
      <c r="CB36" t="s">
        <v>223</v>
      </c>
      <c r="CC36" t="s">
        <v>334</v>
      </c>
      <c r="CD36" t="s">
        <v>223</v>
      </c>
      <c r="CE36" t="s">
        <v>342</v>
      </c>
      <c r="CF36" t="s">
        <v>226</v>
      </c>
      <c r="CG36" t="s">
        <v>343</v>
      </c>
      <c r="CH36" t="s">
        <v>209</v>
      </c>
      <c r="CI36" t="s">
        <v>396</v>
      </c>
      <c r="CJ36" t="s">
        <v>206</v>
      </c>
      <c r="CK36" t="s">
        <v>230</v>
      </c>
      <c r="CL36" t="s">
        <v>231</v>
      </c>
      <c r="CM36" t="s">
        <v>232</v>
      </c>
      <c r="CN36" t="s">
        <v>233</v>
      </c>
      <c r="CP36" t="s">
        <v>212</v>
      </c>
      <c r="CQ36" t="s">
        <v>212</v>
      </c>
      <c r="CR36" t="s">
        <v>212</v>
      </c>
      <c r="CS36" t="s">
        <v>212</v>
      </c>
      <c r="CY36" t="s">
        <v>206</v>
      </c>
      <c r="CZ36" t="str">
        <f>"2022-11-13T09:56:51"</f>
        <v>2022-11-13T09:56:51</v>
      </c>
      <c r="DB36" t="s">
        <v>234</v>
      </c>
      <c r="DE36" t="s">
        <v>212</v>
      </c>
      <c r="DF36" t="s">
        <v>212</v>
      </c>
      <c r="DG36" t="s">
        <v>235</v>
      </c>
      <c r="DH36" t="s">
        <v>212</v>
      </c>
      <c r="DJ36" t="s">
        <v>236</v>
      </c>
      <c r="DM36" t="s">
        <v>206</v>
      </c>
    </row>
    <row r="37" spans="1:117" x14ac:dyDescent="0.3">
      <c r="A37">
        <v>352256</v>
      </c>
      <c r="B37">
        <v>318108</v>
      </c>
      <c r="C37" t="str">
        <f>"090723650914"</f>
        <v>090723650914</v>
      </c>
      <c r="D37" t="s">
        <v>397</v>
      </c>
      <c r="E37" t="s">
        <v>351</v>
      </c>
      <c r="F37" t="s">
        <v>305</v>
      </c>
      <c r="G37" s="1">
        <v>40017</v>
      </c>
      <c r="I37" t="s">
        <v>199</v>
      </c>
      <c r="J37" t="s">
        <v>200</v>
      </c>
      <c r="K37" t="s">
        <v>306</v>
      </c>
      <c r="R37" t="str">
        <f>"АНДОРРА, АКМОЛИНСКАЯ, СТЕПНОГОРСК, 12, 47"</f>
        <v>АНДОРРА, АКМОЛИНСКАЯ, СТЕПНОГОРСК, 12, 47</v>
      </c>
      <c r="S37" t="str">
        <f>"АНДОРРА, АҚМОЛА, СТЕПНОГОР, 12, 47"</f>
        <v>АНДОРРА, АҚМОЛА, СТЕПНОГОР, 12, 47</v>
      </c>
      <c r="T37" t="str">
        <f>"12, 47"</f>
        <v>12, 47</v>
      </c>
      <c r="U37" t="str">
        <f>"12, 47"</f>
        <v>12, 47</v>
      </c>
      <c r="AC37" t="str">
        <f>"2015-09-01T00:00:00"</f>
        <v>2015-09-01T00:00:00</v>
      </c>
      <c r="AD37" t="str">
        <f>"1"</f>
        <v>1</v>
      </c>
      <c r="AG37" t="s">
        <v>202</v>
      </c>
      <c r="AH37" t="str">
        <f>"ckool007@mail.ru"</f>
        <v>ckool007@mail.ru</v>
      </c>
      <c r="AI37" t="s">
        <v>203</v>
      </c>
      <c r="AJ37" t="s">
        <v>286</v>
      </c>
      <c r="AK37" t="s">
        <v>246</v>
      </c>
      <c r="AL37" t="s">
        <v>206</v>
      </c>
      <c r="AN37" t="s">
        <v>207</v>
      </c>
      <c r="AO37">
        <v>1</v>
      </c>
      <c r="AP37" t="s">
        <v>208</v>
      </c>
      <c r="AQ37" t="s">
        <v>209</v>
      </c>
      <c r="AR37" t="s">
        <v>210</v>
      </c>
      <c r="AW37" t="s">
        <v>206</v>
      </c>
      <c r="AX37" t="s">
        <v>211</v>
      </c>
      <c r="AZ37" t="s">
        <v>209</v>
      </c>
      <c r="BI37" t="s">
        <v>212</v>
      </c>
      <c r="BJ37" t="s">
        <v>213</v>
      </c>
      <c r="BK37" t="s">
        <v>214</v>
      </c>
      <c r="BL37" t="s">
        <v>215</v>
      </c>
      <c r="BN37" t="s">
        <v>216</v>
      </c>
      <c r="BO37" t="s">
        <v>209</v>
      </c>
      <c r="BP37" t="s">
        <v>241</v>
      </c>
      <c r="BQ37">
        <v>4</v>
      </c>
      <c r="BS37" t="s">
        <v>219</v>
      </c>
      <c r="BT37" t="s">
        <v>220</v>
      </c>
      <c r="BU37" t="s">
        <v>206</v>
      </c>
      <c r="BX37" t="s">
        <v>234</v>
      </c>
      <c r="BY37" t="s">
        <v>234</v>
      </c>
      <c r="CA37" t="s">
        <v>263</v>
      </c>
      <c r="CB37" t="s">
        <v>223</v>
      </c>
      <c r="CC37" t="s">
        <v>209</v>
      </c>
      <c r="CE37" t="s">
        <v>242</v>
      </c>
      <c r="CJ37" t="s">
        <v>206</v>
      </c>
      <c r="CK37" t="s">
        <v>291</v>
      </c>
      <c r="CM37" t="s">
        <v>292</v>
      </c>
      <c r="CN37" t="s">
        <v>233</v>
      </c>
      <c r="CP37" t="s">
        <v>212</v>
      </c>
      <c r="CQ37" t="s">
        <v>212</v>
      </c>
      <c r="CR37" t="s">
        <v>212</v>
      </c>
      <c r="CS37" t="s">
        <v>212</v>
      </c>
      <c r="CY37" t="s">
        <v>212</v>
      </c>
      <c r="DB37" t="s">
        <v>234</v>
      </c>
      <c r="DE37" t="s">
        <v>212</v>
      </c>
      <c r="DF37" t="s">
        <v>212</v>
      </c>
      <c r="DG37" t="s">
        <v>235</v>
      </c>
      <c r="DH37" t="s">
        <v>212</v>
      </c>
      <c r="DJ37" t="s">
        <v>236</v>
      </c>
      <c r="DM37" t="s">
        <v>212</v>
      </c>
    </row>
    <row r="38" spans="1:117" x14ac:dyDescent="0.3">
      <c r="A38">
        <v>352406</v>
      </c>
      <c r="B38">
        <v>318227</v>
      </c>
      <c r="C38" t="str">
        <f>"090216650303"</f>
        <v>090216650303</v>
      </c>
      <c r="D38" t="s">
        <v>398</v>
      </c>
      <c r="E38" t="s">
        <v>399</v>
      </c>
      <c r="F38" t="s">
        <v>400</v>
      </c>
      <c r="G38" s="1">
        <v>39860</v>
      </c>
      <c r="I38" t="s">
        <v>199</v>
      </c>
      <c r="J38" t="s">
        <v>200</v>
      </c>
      <c r="K38" t="s">
        <v>260</v>
      </c>
      <c r="R38" t="str">
        <f>"АНДОРРА, АКМОЛИНСКАЯ, СТЕПНОГОРСК, 13, 74"</f>
        <v>АНДОРРА, АКМОЛИНСКАЯ, СТЕПНОГОРСК, 13, 74</v>
      </c>
      <c r="S38" t="str">
        <f>"АНДОРРА, АҚМОЛА, СТЕПНОГОР, 13, 74"</f>
        <v>АНДОРРА, АҚМОЛА, СТЕПНОГОР, 13, 74</v>
      </c>
      <c r="T38" t="str">
        <f>"13, 74"</f>
        <v>13, 74</v>
      </c>
      <c r="U38" t="str">
        <f>"13, 74"</f>
        <v>13, 74</v>
      </c>
      <c r="AC38" t="str">
        <f>"2015-09-01T00:00:00"</f>
        <v>2015-09-01T00:00:00</v>
      </c>
      <c r="AD38" t="str">
        <f>"1"</f>
        <v>1</v>
      </c>
      <c r="AG38" t="s">
        <v>202</v>
      </c>
      <c r="AH38" t="str">
        <f>"ckool007@mail.ru"</f>
        <v>ckool007@mail.ru</v>
      </c>
      <c r="AI38" t="s">
        <v>203</v>
      </c>
      <c r="AJ38" t="s">
        <v>286</v>
      </c>
      <c r="AK38" t="s">
        <v>246</v>
      </c>
      <c r="AL38" t="s">
        <v>206</v>
      </c>
      <c r="AN38" t="s">
        <v>207</v>
      </c>
      <c r="AO38">
        <v>1</v>
      </c>
      <c r="AP38" t="s">
        <v>208</v>
      </c>
      <c r="AQ38" t="s">
        <v>209</v>
      </c>
      <c r="AR38" t="s">
        <v>210</v>
      </c>
      <c r="AW38" t="s">
        <v>206</v>
      </c>
      <c r="AX38" t="s">
        <v>211</v>
      </c>
      <c r="AZ38" t="s">
        <v>209</v>
      </c>
      <c r="BI38" t="s">
        <v>212</v>
      </c>
      <c r="BJ38" t="s">
        <v>213</v>
      </c>
      <c r="BK38" t="s">
        <v>214</v>
      </c>
      <c r="BL38" t="s">
        <v>215</v>
      </c>
      <c r="BN38" t="s">
        <v>216</v>
      </c>
      <c r="BO38" t="s">
        <v>209</v>
      </c>
      <c r="BP38" t="s">
        <v>241</v>
      </c>
      <c r="BQ38">
        <v>4</v>
      </c>
      <c r="BS38" t="s">
        <v>219</v>
      </c>
      <c r="BT38" t="s">
        <v>220</v>
      </c>
      <c r="BU38" t="s">
        <v>206</v>
      </c>
      <c r="BX38" t="s">
        <v>221</v>
      </c>
      <c r="BY38" t="s">
        <v>221</v>
      </c>
      <c r="CA38" t="s">
        <v>287</v>
      </c>
      <c r="CC38" t="s">
        <v>209</v>
      </c>
      <c r="CE38" t="s">
        <v>242</v>
      </c>
      <c r="CJ38" t="s">
        <v>206</v>
      </c>
      <c r="CK38" t="s">
        <v>291</v>
      </c>
      <c r="CM38" t="s">
        <v>292</v>
      </c>
      <c r="CN38" t="s">
        <v>233</v>
      </c>
      <c r="CP38" t="s">
        <v>212</v>
      </c>
      <c r="CQ38" t="s">
        <v>212</v>
      </c>
      <c r="CR38" t="s">
        <v>212</v>
      </c>
      <c r="CS38" t="s">
        <v>212</v>
      </c>
      <c r="CY38" t="s">
        <v>212</v>
      </c>
      <c r="DB38" t="s">
        <v>234</v>
      </c>
      <c r="DE38" t="s">
        <v>212</v>
      </c>
      <c r="DF38" t="s">
        <v>212</v>
      </c>
      <c r="DG38" t="s">
        <v>235</v>
      </c>
      <c r="DH38" t="s">
        <v>212</v>
      </c>
      <c r="DJ38" t="s">
        <v>236</v>
      </c>
      <c r="DM38" t="s">
        <v>212</v>
      </c>
    </row>
    <row r="39" spans="1:117" x14ac:dyDescent="0.3">
      <c r="A39">
        <v>352731</v>
      </c>
      <c r="B39">
        <v>318513</v>
      </c>
      <c r="C39" t="str">
        <f>"090505551029"</f>
        <v>090505551029</v>
      </c>
      <c r="D39" t="s">
        <v>401</v>
      </c>
      <c r="E39" t="s">
        <v>402</v>
      </c>
      <c r="F39" t="s">
        <v>403</v>
      </c>
      <c r="G39" s="1">
        <v>39938</v>
      </c>
      <c r="I39" t="s">
        <v>240</v>
      </c>
      <c r="J39" t="s">
        <v>200</v>
      </c>
      <c r="K39" t="s">
        <v>260</v>
      </c>
      <c r="R39" t="str">
        <f>"АНДОРРА, АКМОЛИНСКАЯ, СТЕПНОГОРСК, 42, 75"</f>
        <v>АНДОРРА, АКМОЛИНСКАЯ, СТЕПНОГОРСК, 42, 75</v>
      </c>
      <c r="S39" t="str">
        <f>"АНДОРРА, АҚМОЛА, СТЕПНОГОР, 42, 75"</f>
        <v>АНДОРРА, АҚМОЛА, СТЕПНОГОР, 42, 75</v>
      </c>
      <c r="T39" t="str">
        <f>"42, 75"</f>
        <v>42, 75</v>
      </c>
      <c r="U39" t="str">
        <f>"42, 75"</f>
        <v>42, 75</v>
      </c>
      <c r="AC39" t="str">
        <f>"2015-09-01T00:00:00"</f>
        <v>2015-09-01T00:00:00</v>
      </c>
      <c r="AD39" t="str">
        <f>"1"</f>
        <v>1</v>
      </c>
      <c r="AG39" t="s">
        <v>202</v>
      </c>
      <c r="AH39" t="str">
        <f>"ckool007@mail.ru"</f>
        <v>ckool007@mail.ru</v>
      </c>
      <c r="AI39" t="s">
        <v>203</v>
      </c>
      <c r="AJ39" t="s">
        <v>286</v>
      </c>
      <c r="AK39" t="s">
        <v>246</v>
      </c>
      <c r="AL39" t="s">
        <v>206</v>
      </c>
      <c r="AN39" t="s">
        <v>207</v>
      </c>
      <c r="AO39">
        <v>1</v>
      </c>
      <c r="AP39" t="s">
        <v>208</v>
      </c>
      <c r="AQ39" t="s">
        <v>209</v>
      </c>
      <c r="AR39" t="s">
        <v>210</v>
      </c>
      <c r="AW39" t="s">
        <v>206</v>
      </c>
      <c r="AX39" t="s">
        <v>211</v>
      </c>
      <c r="AZ39" t="s">
        <v>209</v>
      </c>
      <c r="BI39" t="s">
        <v>212</v>
      </c>
      <c r="BJ39" t="s">
        <v>213</v>
      </c>
      <c r="BK39" t="s">
        <v>214</v>
      </c>
      <c r="BL39" t="s">
        <v>215</v>
      </c>
      <c r="BN39" t="s">
        <v>247</v>
      </c>
      <c r="BO39" t="s">
        <v>209</v>
      </c>
      <c r="BP39" t="s">
        <v>241</v>
      </c>
      <c r="BQ39">
        <v>3</v>
      </c>
      <c r="BS39" t="s">
        <v>219</v>
      </c>
      <c r="BT39" t="s">
        <v>220</v>
      </c>
      <c r="BU39" t="s">
        <v>206</v>
      </c>
      <c r="BX39" t="s">
        <v>221</v>
      </c>
      <c r="BY39" t="s">
        <v>221</v>
      </c>
      <c r="CA39" t="s">
        <v>287</v>
      </c>
      <c r="CC39" t="s">
        <v>404</v>
      </c>
      <c r="CD39" t="s">
        <v>223</v>
      </c>
      <c r="CE39" t="s">
        <v>242</v>
      </c>
      <c r="CJ39" t="s">
        <v>206</v>
      </c>
      <c r="CK39" t="s">
        <v>291</v>
      </c>
      <c r="CM39" t="s">
        <v>292</v>
      </c>
      <c r="CN39" t="s">
        <v>233</v>
      </c>
      <c r="CP39" t="s">
        <v>212</v>
      </c>
      <c r="CQ39" t="s">
        <v>212</v>
      </c>
      <c r="CR39" t="s">
        <v>212</v>
      </c>
      <c r="CS39" t="s">
        <v>212</v>
      </c>
      <c r="CY39" t="s">
        <v>212</v>
      </c>
      <c r="DB39" t="s">
        <v>234</v>
      </c>
      <c r="DE39" t="s">
        <v>212</v>
      </c>
      <c r="DF39" t="s">
        <v>212</v>
      </c>
      <c r="DG39" t="s">
        <v>235</v>
      </c>
      <c r="DH39" t="s">
        <v>212</v>
      </c>
      <c r="DJ39" t="s">
        <v>236</v>
      </c>
      <c r="DM39" t="s">
        <v>212</v>
      </c>
    </row>
    <row r="40" spans="1:117" x14ac:dyDescent="0.3">
      <c r="A40">
        <v>354019</v>
      </c>
      <c r="B40">
        <v>319610</v>
      </c>
      <c r="C40" t="str">
        <f>"110708606238"</f>
        <v>110708606238</v>
      </c>
      <c r="D40" t="s">
        <v>405</v>
      </c>
      <c r="E40" t="s">
        <v>347</v>
      </c>
      <c r="F40" t="s">
        <v>406</v>
      </c>
      <c r="G40" s="1">
        <v>40732</v>
      </c>
      <c r="I40" t="s">
        <v>199</v>
      </c>
      <c r="J40" t="s">
        <v>200</v>
      </c>
      <c r="K40" t="s">
        <v>260</v>
      </c>
      <c r="R40" t="str">
        <f>"КАЗАХСТАН, АКМОЛИНСКАЯ, СТЕПНОГОРСК, 31, 28"</f>
        <v>КАЗАХСТАН, АКМОЛИНСКАЯ, СТЕПНОГОРСК, 31, 28</v>
      </c>
      <c r="S40" t="str">
        <f>"ҚАЗАҚСТАН, АҚМОЛА, СТЕПНОГОР, 31, 28"</f>
        <v>ҚАЗАҚСТАН, АҚМОЛА, СТЕПНОГОР, 31, 28</v>
      </c>
      <c r="T40" t="str">
        <f>"31, 28"</f>
        <v>31, 28</v>
      </c>
      <c r="U40" t="str">
        <f>"31, 28"</f>
        <v>31, 28</v>
      </c>
      <c r="AC40" t="str">
        <f>"2018-08-29T00:00:00"</f>
        <v>2018-08-29T00:00:00</v>
      </c>
      <c r="AD40" t="str">
        <f>"140"</f>
        <v>140</v>
      </c>
      <c r="AG40" t="s">
        <v>202</v>
      </c>
      <c r="AI40" t="s">
        <v>203</v>
      </c>
      <c r="AJ40" t="s">
        <v>348</v>
      </c>
      <c r="AK40" t="s">
        <v>261</v>
      </c>
      <c r="AL40" t="s">
        <v>206</v>
      </c>
      <c r="AN40" t="s">
        <v>207</v>
      </c>
      <c r="AO40">
        <v>1</v>
      </c>
      <c r="AP40" t="s">
        <v>208</v>
      </c>
      <c r="AQ40" t="s">
        <v>209</v>
      </c>
      <c r="AR40" t="s">
        <v>210</v>
      </c>
      <c r="AW40" t="s">
        <v>206</v>
      </c>
      <c r="AX40" t="s">
        <v>211</v>
      </c>
      <c r="AZ40" t="s">
        <v>209</v>
      </c>
      <c r="BI40" t="s">
        <v>212</v>
      </c>
      <c r="BJ40" t="s">
        <v>213</v>
      </c>
      <c r="BK40" t="s">
        <v>214</v>
      </c>
      <c r="BL40" t="s">
        <v>215</v>
      </c>
      <c r="BN40" t="s">
        <v>247</v>
      </c>
      <c r="BO40" t="s">
        <v>209</v>
      </c>
      <c r="BP40" t="s">
        <v>241</v>
      </c>
      <c r="BQ40">
        <v>5</v>
      </c>
      <c r="BS40" t="s">
        <v>219</v>
      </c>
      <c r="BT40" t="s">
        <v>220</v>
      </c>
      <c r="BU40" t="s">
        <v>206</v>
      </c>
      <c r="BX40" t="s">
        <v>221</v>
      </c>
      <c r="BY40" t="s">
        <v>221</v>
      </c>
      <c r="CA40" t="s">
        <v>263</v>
      </c>
      <c r="CB40" t="s">
        <v>223</v>
      </c>
      <c r="CC40" t="s">
        <v>222</v>
      </c>
      <c r="CD40" t="s">
        <v>223</v>
      </c>
      <c r="CE40" t="s">
        <v>242</v>
      </c>
      <c r="CJ40" t="s">
        <v>206</v>
      </c>
      <c r="CK40" t="s">
        <v>230</v>
      </c>
      <c r="CL40" t="s">
        <v>231</v>
      </c>
      <c r="CM40" t="s">
        <v>232</v>
      </c>
      <c r="CN40" t="s">
        <v>233</v>
      </c>
      <c r="CP40" t="s">
        <v>212</v>
      </c>
      <c r="CQ40" t="s">
        <v>212</v>
      </c>
      <c r="CR40" t="s">
        <v>212</v>
      </c>
      <c r="CS40" t="s">
        <v>212</v>
      </c>
      <c r="CY40" t="s">
        <v>212</v>
      </c>
      <c r="DB40" t="s">
        <v>234</v>
      </c>
      <c r="DE40" t="s">
        <v>212</v>
      </c>
      <c r="DF40" t="s">
        <v>212</v>
      </c>
      <c r="DG40" t="s">
        <v>235</v>
      </c>
      <c r="DH40" t="s">
        <v>212</v>
      </c>
      <c r="DJ40" t="s">
        <v>236</v>
      </c>
      <c r="DM40" t="s">
        <v>212</v>
      </c>
    </row>
    <row r="41" spans="1:117" x14ac:dyDescent="0.3">
      <c r="A41">
        <v>354105</v>
      </c>
      <c r="B41">
        <v>319686</v>
      </c>
      <c r="C41" t="str">
        <f>"090825651779"</f>
        <v>090825651779</v>
      </c>
      <c r="D41" t="s">
        <v>407</v>
      </c>
      <c r="E41" t="s">
        <v>347</v>
      </c>
      <c r="F41" t="s">
        <v>408</v>
      </c>
      <c r="G41" s="1">
        <v>40050</v>
      </c>
      <c r="I41" t="s">
        <v>199</v>
      </c>
      <c r="J41" t="s">
        <v>200</v>
      </c>
      <c r="K41" t="s">
        <v>260</v>
      </c>
      <c r="R41" t="str">
        <f>"КАЗАХСТАН, АКМОЛИНСКАЯ, СТЕПНОГОРСК, 18, 35"</f>
        <v>КАЗАХСТАН, АКМОЛИНСКАЯ, СТЕПНОГОРСК, 18, 35</v>
      </c>
      <c r="S41" t="str">
        <f>"ҚАЗАҚСТАН, АҚМОЛА, СТЕПНОГОР, 18, 35"</f>
        <v>ҚАЗАҚСТАН, АҚМОЛА, СТЕПНОГОР, 18, 35</v>
      </c>
      <c r="T41" t="str">
        <f>"18, 35"</f>
        <v>18, 35</v>
      </c>
      <c r="U41" t="str">
        <f>"18, 35"</f>
        <v>18, 35</v>
      </c>
      <c r="AC41" t="str">
        <f>"2016-09-01T00:00:00"</f>
        <v>2016-09-01T00:00:00</v>
      </c>
      <c r="AD41" t="str">
        <f>"1"</f>
        <v>1</v>
      </c>
      <c r="AG41" t="s">
        <v>202</v>
      </c>
      <c r="AI41" t="s">
        <v>269</v>
      </c>
      <c r="AJ41" t="s">
        <v>300</v>
      </c>
      <c r="AK41" t="s">
        <v>246</v>
      </c>
      <c r="AL41" t="s">
        <v>206</v>
      </c>
      <c r="AN41" t="s">
        <v>207</v>
      </c>
      <c r="AO41">
        <v>1</v>
      </c>
      <c r="AP41" t="s">
        <v>208</v>
      </c>
      <c r="AQ41" t="s">
        <v>209</v>
      </c>
      <c r="AR41" t="s">
        <v>210</v>
      </c>
      <c r="AW41" t="s">
        <v>206</v>
      </c>
      <c r="AX41" t="s">
        <v>211</v>
      </c>
      <c r="AZ41" t="s">
        <v>209</v>
      </c>
      <c r="BI41" t="s">
        <v>212</v>
      </c>
      <c r="BJ41" t="s">
        <v>213</v>
      </c>
      <c r="BK41" t="s">
        <v>214</v>
      </c>
      <c r="BL41" t="s">
        <v>215</v>
      </c>
      <c r="BN41" t="s">
        <v>247</v>
      </c>
      <c r="BO41" t="s">
        <v>209</v>
      </c>
      <c r="BP41" t="s">
        <v>241</v>
      </c>
      <c r="BQ41">
        <v>3</v>
      </c>
      <c r="BS41" t="s">
        <v>219</v>
      </c>
      <c r="BT41" t="s">
        <v>220</v>
      </c>
      <c r="BU41" t="s">
        <v>206</v>
      </c>
      <c r="BX41" t="s">
        <v>221</v>
      </c>
      <c r="BY41" t="s">
        <v>221</v>
      </c>
      <c r="CA41" t="s">
        <v>222</v>
      </c>
      <c r="CB41" t="s">
        <v>223</v>
      </c>
      <c r="CC41" t="s">
        <v>222</v>
      </c>
      <c r="CD41" t="s">
        <v>223</v>
      </c>
      <c r="CE41" t="s">
        <v>242</v>
      </c>
      <c r="CJ41" t="s">
        <v>206</v>
      </c>
      <c r="CK41" t="s">
        <v>230</v>
      </c>
      <c r="CL41" t="s">
        <v>231</v>
      </c>
      <c r="CM41" t="s">
        <v>232</v>
      </c>
      <c r="CN41" t="s">
        <v>233</v>
      </c>
      <c r="CP41" t="s">
        <v>212</v>
      </c>
      <c r="CQ41" t="s">
        <v>212</v>
      </c>
      <c r="CR41" t="s">
        <v>212</v>
      </c>
      <c r="CS41" t="s">
        <v>212</v>
      </c>
      <c r="CY41" t="s">
        <v>212</v>
      </c>
      <c r="DB41" t="s">
        <v>234</v>
      </c>
      <c r="DE41" t="s">
        <v>212</v>
      </c>
      <c r="DF41" t="s">
        <v>212</v>
      </c>
      <c r="DG41" t="s">
        <v>235</v>
      </c>
      <c r="DH41" t="s">
        <v>212</v>
      </c>
      <c r="DJ41" t="s">
        <v>236</v>
      </c>
      <c r="DM41" t="s">
        <v>212</v>
      </c>
    </row>
    <row r="42" spans="1:117" x14ac:dyDescent="0.3">
      <c r="A42">
        <v>354309</v>
      </c>
      <c r="B42">
        <v>319874</v>
      </c>
      <c r="C42" t="str">
        <f>"101218503541"</f>
        <v>101218503541</v>
      </c>
      <c r="D42" t="s">
        <v>409</v>
      </c>
      <c r="E42" t="s">
        <v>410</v>
      </c>
      <c r="F42" t="s">
        <v>411</v>
      </c>
      <c r="G42" s="1">
        <v>40530</v>
      </c>
      <c r="I42" t="s">
        <v>240</v>
      </c>
      <c r="J42" t="s">
        <v>200</v>
      </c>
      <c r="K42" t="s">
        <v>260</v>
      </c>
      <c r="R42" t="str">
        <f>"КАЗАХСТАН, АКМОЛИНСКАЯ, СТЕПНОГОРСК, 43, 44"</f>
        <v>КАЗАХСТАН, АКМОЛИНСКАЯ, СТЕПНОГОРСК, 43, 44</v>
      </c>
      <c r="S42" t="str">
        <f>"ҚАЗАҚСТАН, АҚМОЛА, СТЕПНОГОР, 43, 44"</f>
        <v>ҚАЗАҚСТАН, АҚМОЛА, СТЕПНОГОР, 43, 44</v>
      </c>
      <c r="T42" t="str">
        <f>"43, 44"</f>
        <v>43, 44</v>
      </c>
      <c r="U42" t="str">
        <f>"43, 44"</f>
        <v>43, 44</v>
      </c>
      <c r="AC42" t="str">
        <f>"2017-08-29T00:00:00"</f>
        <v>2017-08-29T00:00:00</v>
      </c>
      <c r="AD42" t="str">
        <f>"113"</f>
        <v>113</v>
      </c>
      <c r="AG42" t="s">
        <v>202</v>
      </c>
      <c r="AI42" t="s">
        <v>274</v>
      </c>
      <c r="AJ42" t="s">
        <v>348</v>
      </c>
      <c r="AK42" t="s">
        <v>261</v>
      </c>
      <c r="AL42" t="s">
        <v>206</v>
      </c>
      <c r="AN42" t="s">
        <v>207</v>
      </c>
      <c r="AO42">
        <v>1</v>
      </c>
      <c r="AP42" t="s">
        <v>208</v>
      </c>
      <c r="AQ42" t="s">
        <v>209</v>
      </c>
      <c r="AR42" t="s">
        <v>412</v>
      </c>
      <c r="AW42" t="s">
        <v>206</v>
      </c>
      <c r="AX42" t="s">
        <v>211</v>
      </c>
      <c r="AZ42" t="s">
        <v>209</v>
      </c>
      <c r="BI42" t="s">
        <v>212</v>
      </c>
      <c r="BJ42" t="s">
        <v>213</v>
      </c>
      <c r="BK42" t="s">
        <v>214</v>
      </c>
      <c r="BL42" t="s">
        <v>357</v>
      </c>
      <c r="BN42" t="s">
        <v>247</v>
      </c>
      <c r="BO42" t="s">
        <v>209</v>
      </c>
      <c r="BP42" t="s">
        <v>241</v>
      </c>
      <c r="BQ42">
        <v>3</v>
      </c>
      <c r="BS42" t="s">
        <v>219</v>
      </c>
      <c r="BT42" t="s">
        <v>220</v>
      </c>
      <c r="BU42" t="s">
        <v>206</v>
      </c>
      <c r="BX42" t="s">
        <v>221</v>
      </c>
      <c r="BY42" t="s">
        <v>221</v>
      </c>
      <c r="CA42" t="s">
        <v>222</v>
      </c>
      <c r="CB42" t="s">
        <v>223</v>
      </c>
      <c r="CC42" t="s">
        <v>209</v>
      </c>
      <c r="CE42" t="s">
        <v>242</v>
      </c>
      <c r="CJ42" t="s">
        <v>206</v>
      </c>
      <c r="CK42" t="s">
        <v>230</v>
      </c>
      <c r="CL42" t="s">
        <v>231</v>
      </c>
      <c r="CM42" t="s">
        <v>232</v>
      </c>
      <c r="CN42" t="s">
        <v>233</v>
      </c>
      <c r="CP42" t="s">
        <v>212</v>
      </c>
      <c r="CQ42" t="s">
        <v>212</v>
      </c>
      <c r="CR42" t="s">
        <v>212</v>
      </c>
      <c r="CS42" t="s">
        <v>212</v>
      </c>
      <c r="CY42" t="s">
        <v>212</v>
      </c>
      <c r="DB42" t="s">
        <v>234</v>
      </c>
      <c r="DE42" t="s">
        <v>212</v>
      </c>
      <c r="DF42" t="s">
        <v>212</v>
      </c>
      <c r="DG42" t="s">
        <v>235</v>
      </c>
      <c r="DH42" t="s">
        <v>212</v>
      </c>
      <c r="DJ42" t="s">
        <v>236</v>
      </c>
      <c r="DM42" t="s">
        <v>212</v>
      </c>
    </row>
    <row r="43" spans="1:117" x14ac:dyDescent="0.3">
      <c r="A43">
        <v>354442</v>
      </c>
      <c r="B43">
        <v>320000</v>
      </c>
      <c r="C43" t="str">
        <f>"111115600664"</f>
        <v>111115600664</v>
      </c>
      <c r="D43" t="s">
        <v>413</v>
      </c>
      <c r="E43" t="s">
        <v>399</v>
      </c>
      <c r="F43" t="s">
        <v>414</v>
      </c>
      <c r="G43" s="1">
        <v>40862</v>
      </c>
      <c r="I43" t="s">
        <v>199</v>
      </c>
      <c r="J43" t="s">
        <v>200</v>
      </c>
      <c r="K43" t="s">
        <v>260</v>
      </c>
      <c r="R43" t="str">
        <f>"КАЗАХСТАН, АКМОЛИНСКАЯ, СТЕПНОГОРСК, КЕНТI Аксу, 6, 6"</f>
        <v>КАЗАХСТАН, АКМОЛИНСКАЯ, СТЕПНОГОРСК, КЕНТI Аксу, 6, 6</v>
      </c>
      <c r="S43" t="str">
        <f>"ҚАЗАҚСТАН, АҚМОЛА, СТЕПНОГОР, КЕНТI Аксу, 6, 6"</f>
        <v>ҚАЗАҚСТАН, АҚМОЛА, СТЕПНОГОР, КЕНТI Аксу, 6, 6</v>
      </c>
      <c r="T43" t="str">
        <f>"КЕНТI Аксу, 6, 6"</f>
        <v>КЕНТI Аксу, 6, 6</v>
      </c>
      <c r="U43" t="str">
        <f>"КЕНТI Аксу, 6, 6"</f>
        <v>КЕНТI Аксу, 6, 6</v>
      </c>
      <c r="AC43" t="str">
        <f>"2018-08-29T00:00:00"</f>
        <v>2018-08-29T00:00:00</v>
      </c>
      <c r="AD43" t="str">
        <f>"140"</f>
        <v>140</v>
      </c>
      <c r="AG43" t="s">
        <v>202</v>
      </c>
      <c r="AI43" t="s">
        <v>274</v>
      </c>
      <c r="AJ43" t="s">
        <v>348</v>
      </c>
      <c r="AK43" t="s">
        <v>261</v>
      </c>
      <c r="AL43" t="s">
        <v>206</v>
      </c>
      <c r="AN43" t="s">
        <v>207</v>
      </c>
      <c r="AO43">
        <v>1</v>
      </c>
      <c r="AP43" t="s">
        <v>208</v>
      </c>
      <c r="AQ43" t="s">
        <v>209</v>
      </c>
      <c r="AR43" t="s">
        <v>210</v>
      </c>
      <c r="AW43" t="s">
        <v>206</v>
      </c>
      <c r="AX43" t="s">
        <v>211</v>
      </c>
      <c r="AZ43" t="s">
        <v>209</v>
      </c>
      <c r="BI43" t="s">
        <v>212</v>
      </c>
      <c r="BJ43" t="s">
        <v>213</v>
      </c>
      <c r="BK43" t="s">
        <v>214</v>
      </c>
      <c r="BL43" t="s">
        <v>215</v>
      </c>
      <c r="BN43" t="s">
        <v>247</v>
      </c>
      <c r="BO43" t="s">
        <v>209</v>
      </c>
      <c r="BP43" t="s">
        <v>415</v>
      </c>
      <c r="BQ43" t="s">
        <v>416</v>
      </c>
      <c r="BS43" t="s">
        <v>219</v>
      </c>
      <c r="BT43" t="s">
        <v>220</v>
      </c>
      <c r="BU43" t="s">
        <v>206</v>
      </c>
      <c r="BX43" t="s">
        <v>221</v>
      </c>
      <c r="BY43" t="s">
        <v>221</v>
      </c>
      <c r="CA43" t="s">
        <v>263</v>
      </c>
      <c r="CB43" t="s">
        <v>223</v>
      </c>
      <c r="CC43" t="s">
        <v>222</v>
      </c>
      <c r="CD43" t="s">
        <v>223</v>
      </c>
      <c r="CE43" t="s">
        <v>242</v>
      </c>
      <c r="CJ43" t="s">
        <v>206</v>
      </c>
      <c r="CK43" t="s">
        <v>230</v>
      </c>
      <c r="CL43" t="s">
        <v>231</v>
      </c>
      <c r="CM43" t="s">
        <v>232</v>
      </c>
      <c r="CN43" t="s">
        <v>233</v>
      </c>
      <c r="CP43" t="s">
        <v>212</v>
      </c>
      <c r="CQ43" t="s">
        <v>212</v>
      </c>
      <c r="CR43" t="s">
        <v>212</v>
      </c>
      <c r="CS43" t="s">
        <v>212</v>
      </c>
      <c r="CY43" t="s">
        <v>212</v>
      </c>
      <c r="DB43" t="s">
        <v>234</v>
      </c>
      <c r="DE43" t="s">
        <v>212</v>
      </c>
      <c r="DF43" t="s">
        <v>212</v>
      </c>
      <c r="DG43" t="s">
        <v>235</v>
      </c>
      <c r="DH43" t="s">
        <v>212</v>
      </c>
      <c r="DJ43" t="s">
        <v>236</v>
      </c>
      <c r="DM43" t="s">
        <v>212</v>
      </c>
    </row>
    <row r="44" spans="1:117" x14ac:dyDescent="0.3">
      <c r="A44">
        <v>354483</v>
      </c>
      <c r="B44">
        <v>320033</v>
      </c>
      <c r="C44" t="str">
        <f>"120330600553"</f>
        <v>120330600553</v>
      </c>
      <c r="D44" t="s">
        <v>271</v>
      </c>
      <c r="E44" t="s">
        <v>417</v>
      </c>
      <c r="F44" t="s">
        <v>418</v>
      </c>
      <c r="G44" s="1">
        <v>40998</v>
      </c>
      <c r="I44" t="s">
        <v>199</v>
      </c>
      <c r="J44" t="s">
        <v>200</v>
      </c>
      <c r="K44" t="s">
        <v>201</v>
      </c>
      <c r="Q44" t="s">
        <v>212</v>
      </c>
      <c r="R44" t="str">
        <f>"КАЗАХСТАН, АКМОЛИНСКАЯ, СТЕПНОГОРСК, 6"</f>
        <v>КАЗАХСТАН, АКМОЛИНСКАЯ, СТЕПНОГОРСК, 6</v>
      </c>
      <c r="S44" t="str">
        <f>"ҚАЗАҚСТАН, АҚМОЛА, СТЕПНОГОР, 6"</f>
        <v>ҚАЗАҚСТАН, АҚМОЛА, СТЕПНОГОР, 6</v>
      </c>
      <c r="T44" t="str">
        <f>"6"</f>
        <v>6</v>
      </c>
      <c r="U44" t="str">
        <f>"6"</f>
        <v>6</v>
      </c>
      <c r="AC44" t="str">
        <f>"2019-06-19T00:00:00"</f>
        <v>2019-06-19T00:00:00</v>
      </c>
      <c r="AD44" t="str">
        <f>"94"</f>
        <v>94</v>
      </c>
      <c r="AE44" t="str">
        <f>"2023-09-01T17:22:22"</f>
        <v>2023-09-01T17:22:22</v>
      </c>
      <c r="AF44" t="str">
        <f>"2024-05-25T17:22:22"</f>
        <v>2024-05-25T17:22:22</v>
      </c>
      <c r="AG44" t="s">
        <v>202</v>
      </c>
      <c r="AI44" t="s">
        <v>274</v>
      </c>
      <c r="AJ44" t="s">
        <v>419</v>
      </c>
      <c r="AK44" t="s">
        <v>261</v>
      </c>
      <c r="AL44" t="s">
        <v>206</v>
      </c>
      <c r="AN44" t="s">
        <v>207</v>
      </c>
      <c r="AO44">
        <v>1</v>
      </c>
      <c r="AP44" t="s">
        <v>208</v>
      </c>
      <c r="AQ44" t="s">
        <v>209</v>
      </c>
      <c r="AR44" t="s">
        <v>307</v>
      </c>
      <c r="AW44" t="s">
        <v>206</v>
      </c>
      <c r="AX44" t="s">
        <v>211</v>
      </c>
      <c r="AZ44" t="s">
        <v>209</v>
      </c>
      <c r="BI44" t="s">
        <v>212</v>
      </c>
      <c r="BJ44" t="s">
        <v>213</v>
      </c>
      <c r="BK44" t="s">
        <v>214</v>
      </c>
      <c r="BL44" t="s">
        <v>420</v>
      </c>
      <c r="BN44" t="s">
        <v>247</v>
      </c>
      <c r="BO44" t="s">
        <v>209</v>
      </c>
      <c r="BP44" t="s">
        <v>415</v>
      </c>
      <c r="BQ44" t="s">
        <v>416</v>
      </c>
      <c r="BS44" t="s">
        <v>219</v>
      </c>
      <c r="BT44" t="s">
        <v>220</v>
      </c>
      <c r="BU44" t="s">
        <v>206</v>
      </c>
      <c r="BX44" t="s">
        <v>221</v>
      </c>
      <c r="BY44" t="s">
        <v>221</v>
      </c>
      <c r="CA44" t="s">
        <v>287</v>
      </c>
      <c r="CC44" t="s">
        <v>222</v>
      </c>
      <c r="CD44" t="s">
        <v>223</v>
      </c>
      <c r="CE44" t="s">
        <v>242</v>
      </c>
      <c r="CJ44" t="s">
        <v>206</v>
      </c>
      <c r="CK44" t="s">
        <v>230</v>
      </c>
      <c r="CL44" t="s">
        <v>231</v>
      </c>
      <c r="CM44" t="s">
        <v>232</v>
      </c>
      <c r="CN44" t="s">
        <v>233</v>
      </c>
      <c r="CP44" t="s">
        <v>212</v>
      </c>
      <c r="CQ44" t="s">
        <v>212</v>
      </c>
      <c r="CR44" t="s">
        <v>212</v>
      </c>
      <c r="CS44" t="s">
        <v>212</v>
      </c>
      <c r="CY44" t="s">
        <v>212</v>
      </c>
      <c r="DB44" t="s">
        <v>234</v>
      </c>
      <c r="DE44" t="s">
        <v>212</v>
      </c>
      <c r="DF44" t="s">
        <v>212</v>
      </c>
      <c r="DG44" t="s">
        <v>235</v>
      </c>
      <c r="DH44" t="s">
        <v>212</v>
      </c>
      <c r="DJ44" t="s">
        <v>421</v>
      </c>
      <c r="DK44" t="s">
        <v>422</v>
      </c>
      <c r="DL44" t="s">
        <v>423</v>
      </c>
      <c r="DM44" t="s">
        <v>206</v>
      </c>
    </row>
    <row r="45" spans="1:117" x14ac:dyDescent="0.3">
      <c r="A45">
        <v>354626</v>
      </c>
      <c r="B45">
        <v>320148</v>
      </c>
      <c r="C45" t="str">
        <f>"110222550029"</f>
        <v>110222550029</v>
      </c>
      <c r="D45" t="s">
        <v>424</v>
      </c>
      <c r="E45" t="s">
        <v>425</v>
      </c>
      <c r="F45" t="s">
        <v>426</v>
      </c>
      <c r="G45" s="1">
        <v>40596</v>
      </c>
      <c r="I45" t="s">
        <v>240</v>
      </c>
      <c r="J45" t="s">
        <v>200</v>
      </c>
      <c r="K45" t="s">
        <v>201</v>
      </c>
      <c r="R45" t="str">
        <f>"КАЗАХСТАН, АКМОЛИНСКАЯ, СТЕПНОГОРСК, 67, 90"</f>
        <v>КАЗАХСТАН, АКМОЛИНСКАЯ, СТЕПНОГОРСК, 67, 90</v>
      </c>
      <c r="S45" t="str">
        <f>"ҚАЗАҚСТАН, АҚМОЛА, СТЕПНОГОР, 67, 90"</f>
        <v>ҚАЗАҚСТАН, АҚМОЛА, СТЕПНОГОР, 67, 90</v>
      </c>
      <c r="T45" t="str">
        <f>"67, 90"</f>
        <v>67, 90</v>
      </c>
      <c r="U45" t="str">
        <f>"67, 90"</f>
        <v>67, 90</v>
      </c>
      <c r="AC45" t="str">
        <f>"2018-08-29T00:00:00"</f>
        <v>2018-08-29T00:00:00</v>
      </c>
      <c r="AD45" t="str">
        <f>"140"</f>
        <v>140</v>
      </c>
      <c r="AG45" t="s">
        <v>202</v>
      </c>
      <c r="AI45" t="s">
        <v>299</v>
      </c>
      <c r="AJ45" t="s">
        <v>348</v>
      </c>
      <c r="AK45" t="s">
        <v>253</v>
      </c>
      <c r="AL45" t="s">
        <v>206</v>
      </c>
      <c r="AN45" t="s">
        <v>254</v>
      </c>
      <c r="AO45">
        <v>1</v>
      </c>
      <c r="AP45" t="s">
        <v>208</v>
      </c>
      <c r="AQ45" t="s">
        <v>209</v>
      </c>
      <c r="AR45" t="s">
        <v>262</v>
      </c>
      <c r="AW45" t="s">
        <v>206</v>
      </c>
      <c r="AX45" t="s">
        <v>211</v>
      </c>
      <c r="AZ45" t="s">
        <v>209</v>
      </c>
      <c r="BI45" t="s">
        <v>212</v>
      </c>
      <c r="BJ45" t="s">
        <v>213</v>
      </c>
      <c r="BK45" t="s">
        <v>214</v>
      </c>
      <c r="BL45" t="s">
        <v>357</v>
      </c>
      <c r="BN45" t="s">
        <v>247</v>
      </c>
      <c r="BO45" t="s">
        <v>209</v>
      </c>
      <c r="BP45" t="s">
        <v>241</v>
      </c>
      <c r="BQ45">
        <v>5</v>
      </c>
      <c r="BS45" t="s">
        <v>219</v>
      </c>
      <c r="BT45" t="s">
        <v>220</v>
      </c>
      <c r="BU45" t="s">
        <v>206</v>
      </c>
      <c r="BX45" t="s">
        <v>221</v>
      </c>
      <c r="BY45" t="s">
        <v>221</v>
      </c>
      <c r="CA45" t="s">
        <v>256</v>
      </c>
      <c r="CB45" t="s">
        <v>223</v>
      </c>
      <c r="CC45" t="s">
        <v>222</v>
      </c>
      <c r="CD45" t="s">
        <v>223</v>
      </c>
      <c r="CE45" t="s">
        <v>242</v>
      </c>
      <c r="CJ45" t="s">
        <v>206</v>
      </c>
      <c r="CK45" t="s">
        <v>230</v>
      </c>
      <c r="CL45" t="s">
        <v>231</v>
      </c>
      <c r="CM45" t="s">
        <v>232</v>
      </c>
      <c r="CN45" t="s">
        <v>233</v>
      </c>
      <c r="CP45" t="s">
        <v>212</v>
      </c>
      <c r="CQ45" t="s">
        <v>212</v>
      </c>
      <c r="CR45" t="s">
        <v>212</v>
      </c>
      <c r="CS45" t="s">
        <v>212</v>
      </c>
      <c r="CY45" t="s">
        <v>212</v>
      </c>
      <c r="DB45" t="s">
        <v>234</v>
      </c>
      <c r="DE45" t="s">
        <v>212</v>
      </c>
      <c r="DF45" t="s">
        <v>212</v>
      </c>
      <c r="DG45" t="s">
        <v>235</v>
      </c>
      <c r="DH45" t="s">
        <v>212</v>
      </c>
      <c r="DJ45" t="s">
        <v>236</v>
      </c>
      <c r="DM45" t="s">
        <v>206</v>
      </c>
    </row>
    <row r="46" spans="1:117" x14ac:dyDescent="0.3">
      <c r="A46">
        <v>354716</v>
      </c>
      <c r="B46">
        <v>174179</v>
      </c>
      <c r="C46" t="str">
        <f>"120109502482"</f>
        <v>120109502482</v>
      </c>
      <c r="D46" t="s">
        <v>427</v>
      </c>
      <c r="E46" t="s">
        <v>428</v>
      </c>
      <c r="F46" t="s">
        <v>429</v>
      </c>
      <c r="G46" s="1">
        <v>40917</v>
      </c>
      <c r="I46" t="s">
        <v>240</v>
      </c>
      <c r="J46" t="s">
        <v>200</v>
      </c>
      <c r="K46" t="s">
        <v>201</v>
      </c>
      <c r="R46" t="str">
        <f>"КАЗАХСТАН, АКМОЛИНСКАЯ, СТЕПНОГОРСК, -, 50, 105"</f>
        <v>КАЗАХСТАН, АКМОЛИНСКАЯ, СТЕПНОГОРСК, -, 50, 105</v>
      </c>
      <c r="S46" t="str">
        <f>"ҚАЗАҚСТАН, АҚМОЛА, СТЕПНОГОР, -, 50, 105"</f>
        <v>ҚАЗАҚСТАН, АҚМОЛА, СТЕПНОГОР, -, 50, 105</v>
      </c>
      <c r="T46" t="str">
        <f>"-, 50, 105"</f>
        <v>-, 50, 105</v>
      </c>
      <c r="U46" t="str">
        <f>"-, 50, 105"</f>
        <v>-, 50, 105</v>
      </c>
      <c r="AC46" t="str">
        <f>"2018-08-29T00:00:00"</f>
        <v>2018-08-29T00:00:00</v>
      </c>
      <c r="AD46" t="str">
        <f>"140"</f>
        <v>140</v>
      </c>
      <c r="AG46" t="s">
        <v>202</v>
      </c>
      <c r="AI46" t="s">
        <v>203</v>
      </c>
      <c r="AJ46" t="s">
        <v>348</v>
      </c>
      <c r="AK46" t="s">
        <v>253</v>
      </c>
      <c r="AL46" t="s">
        <v>206</v>
      </c>
      <c r="AN46" t="s">
        <v>254</v>
      </c>
      <c r="AO46">
        <v>1</v>
      </c>
      <c r="AP46" t="s">
        <v>208</v>
      </c>
      <c r="AQ46" t="s">
        <v>209</v>
      </c>
      <c r="AR46" t="s">
        <v>210</v>
      </c>
      <c r="AV46" t="str">
        <f>"2021-01-25T00:27:18"</f>
        <v>2021-01-25T00:27:18</v>
      </c>
      <c r="AW46" t="s">
        <v>212</v>
      </c>
      <c r="AZ46" t="s">
        <v>209</v>
      </c>
      <c r="BI46" t="s">
        <v>212</v>
      </c>
      <c r="BJ46" t="s">
        <v>213</v>
      </c>
      <c r="BK46" t="s">
        <v>214</v>
      </c>
      <c r="BL46" t="s">
        <v>215</v>
      </c>
      <c r="BN46" t="s">
        <v>216</v>
      </c>
      <c r="BO46" t="s">
        <v>209</v>
      </c>
      <c r="BP46" t="s">
        <v>241</v>
      </c>
      <c r="BQ46">
        <v>4</v>
      </c>
      <c r="BS46" t="s">
        <v>219</v>
      </c>
      <c r="BT46" t="s">
        <v>220</v>
      </c>
      <c r="BU46" t="s">
        <v>206</v>
      </c>
      <c r="BX46" t="s">
        <v>221</v>
      </c>
      <c r="BY46" t="s">
        <v>221</v>
      </c>
      <c r="CA46" t="s">
        <v>256</v>
      </c>
      <c r="CB46" t="s">
        <v>223</v>
      </c>
      <c r="CC46" t="s">
        <v>222</v>
      </c>
      <c r="CD46" t="s">
        <v>223</v>
      </c>
      <c r="CE46" t="s">
        <v>225</v>
      </c>
      <c r="CF46" t="s">
        <v>226</v>
      </c>
      <c r="CG46" t="s">
        <v>227</v>
      </c>
      <c r="CH46" t="s">
        <v>228</v>
      </c>
      <c r="CI46" t="s">
        <v>430</v>
      </c>
      <c r="CJ46" t="s">
        <v>206</v>
      </c>
      <c r="CK46" t="s">
        <v>230</v>
      </c>
      <c r="CL46" t="s">
        <v>231</v>
      </c>
      <c r="CM46" t="s">
        <v>232</v>
      </c>
      <c r="CN46" t="s">
        <v>233</v>
      </c>
      <c r="CP46" t="s">
        <v>212</v>
      </c>
      <c r="CQ46" t="s">
        <v>212</v>
      </c>
      <c r="CR46" t="s">
        <v>212</v>
      </c>
      <c r="CS46" t="s">
        <v>212</v>
      </c>
      <c r="CY46" t="s">
        <v>212</v>
      </c>
      <c r="DB46" t="s">
        <v>234</v>
      </c>
      <c r="DE46" t="s">
        <v>212</v>
      </c>
      <c r="DF46" t="s">
        <v>212</v>
      </c>
      <c r="DG46" t="s">
        <v>235</v>
      </c>
      <c r="DH46" t="s">
        <v>212</v>
      </c>
      <c r="DJ46" t="s">
        <v>236</v>
      </c>
      <c r="DM46" t="s">
        <v>212</v>
      </c>
    </row>
    <row r="47" spans="1:117" x14ac:dyDescent="0.3">
      <c r="A47">
        <v>354831</v>
      </c>
      <c r="B47">
        <v>119900</v>
      </c>
      <c r="C47" t="str">
        <f>"101023650976"</f>
        <v>101023650976</v>
      </c>
      <c r="D47" t="s">
        <v>271</v>
      </c>
      <c r="E47" t="s">
        <v>312</v>
      </c>
      <c r="F47" t="s">
        <v>418</v>
      </c>
      <c r="G47" s="1">
        <v>40474</v>
      </c>
      <c r="I47" t="s">
        <v>199</v>
      </c>
      <c r="J47" t="s">
        <v>200</v>
      </c>
      <c r="K47" t="s">
        <v>201</v>
      </c>
      <c r="Q47" t="s">
        <v>212</v>
      </c>
      <c r="R47" t="str">
        <f>"КАЗАХСТАН, АКМОЛИНСКАЯ, СТЕПНОГОРСК, 6"</f>
        <v>КАЗАХСТАН, АКМОЛИНСКАЯ, СТЕПНОГОРСК, 6</v>
      </c>
      <c r="S47" t="str">
        <f>"ҚАЗАҚСТАН, АҚМОЛА, СТЕПНОГОР, 6"</f>
        <v>ҚАЗАҚСТАН, АҚМОЛА, СТЕПНОГОР, 6</v>
      </c>
      <c r="T47" t="str">
        <f>"6"</f>
        <v>6</v>
      </c>
      <c r="U47" t="str">
        <f>"6"</f>
        <v>6</v>
      </c>
      <c r="AC47" t="str">
        <f>"2017-08-29T00:00:00"</f>
        <v>2017-08-29T00:00:00</v>
      </c>
      <c r="AD47" t="str">
        <f>"112"</f>
        <v>112</v>
      </c>
      <c r="AE47" t="str">
        <f>"2023-09-01T17:28:17"</f>
        <v>2023-09-01T17:28:17</v>
      </c>
      <c r="AF47" t="str">
        <f>"2024-05-25T17:28:17"</f>
        <v>2024-05-25T17:28:17</v>
      </c>
      <c r="AG47" t="s">
        <v>202</v>
      </c>
      <c r="AI47" t="s">
        <v>274</v>
      </c>
      <c r="AJ47" t="s">
        <v>300</v>
      </c>
      <c r="AK47" t="s">
        <v>261</v>
      </c>
      <c r="AL47" t="s">
        <v>206</v>
      </c>
      <c r="AN47" t="s">
        <v>207</v>
      </c>
      <c r="AO47">
        <v>1</v>
      </c>
      <c r="AP47" t="s">
        <v>208</v>
      </c>
      <c r="AQ47" t="s">
        <v>209</v>
      </c>
      <c r="AR47" t="s">
        <v>210</v>
      </c>
      <c r="AW47" t="s">
        <v>206</v>
      </c>
      <c r="AX47" t="s">
        <v>211</v>
      </c>
      <c r="AZ47" t="s">
        <v>209</v>
      </c>
      <c r="BI47" t="s">
        <v>212</v>
      </c>
      <c r="BJ47" t="s">
        <v>213</v>
      </c>
      <c r="BK47" t="s">
        <v>214</v>
      </c>
      <c r="BL47" t="s">
        <v>357</v>
      </c>
      <c r="BN47" t="s">
        <v>247</v>
      </c>
      <c r="BO47" t="s">
        <v>209</v>
      </c>
      <c r="BP47" t="s">
        <v>241</v>
      </c>
      <c r="BQ47">
        <v>3</v>
      </c>
      <c r="BS47" t="s">
        <v>219</v>
      </c>
      <c r="BT47" t="s">
        <v>220</v>
      </c>
      <c r="BU47" t="s">
        <v>206</v>
      </c>
      <c r="BX47" t="s">
        <v>221</v>
      </c>
      <c r="BY47" t="s">
        <v>221</v>
      </c>
      <c r="CA47" t="s">
        <v>365</v>
      </c>
      <c r="CB47" t="s">
        <v>223</v>
      </c>
      <c r="CC47" t="s">
        <v>222</v>
      </c>
      <c r="CD47" t="s">
        <v>223</v>
      </c>
      <c r="CE47" t="s">
        <v>242</v>
      </c>
      <c r="CJ47" t="s">
        <v>206</v>
      </c>
      <c r="CK47" t="s">
        <v>230</v>
      </c>
      <c r="CL47" t="s">
        <v>231</v>
      </c>
      <c r="CM47" t="s">
        <v>232</v>
      </c>
      <c r="CN47" t="s">
        <v>233</v>
      </c>
      <c r="CP47" t="s">
        <v>212</v>
      </c>
      <c r="CQ47" t="s">
        <v>212</v>
      </c>
      <c r="CR47" t="s">
        <v>212</v>
      </c>
      <c r="CS47" t="s">
        <v>212</v>
      </c>
      <c r="CY47" t="s">
        <v>212</v>
      </c>
      <c r="DB47" t="s">
        <v>234</v>
      </c>
      <c r="DE47" t="s">
        <v>212</v>
      </c>
      <c r="DF47" t="s">
        <v>212</v>
      </c>
      <c r="DG47" t="s">
        <v>235</v>
      </c>
      <c r="DH47" t="s">
        <v>212</v>
      </c>
      <c r="DJ47" t="s">
        <v>421</v>
      </c>
      <c r="DK47" t="s">
        <v>422</v>
      </c>
      <c r="DL47" t="s">
        <v>423</v>
      </c>
      <c r="DM47" t="s">
        <v>206</v>
      </c>
    </row>
    <row r="48" spans="1:117" x14ac:dyDescent="0.3">
      <c r="A48">
        <v>354851</v>
      </c>
      <c r="B48">
        <v>320349</v>
      </c>
      <c r="C48" t="str">
        <f>"121021501548"</f>
        <v>121021501548</v>
      </c>
      <c r="D48" t="s">
        <v>431</v>
      </c>
      <c r="E48" t="s">
        <v>432</v>
      </c>
      <c r="F48" t="s">
        <v>433</v>
      </c>
      <c r="G48" s="1">
        <v>41203</v>
      </c>
      <c r="I48" t="s">
        <v>240</v>
      </c>
      <c r="J48" t="s">
        <v>200</v>
      </c>
      <c r="K48" t="s">
        <v>201</v>
      </c>
      <c r="Q48" t="s">
        <v>212</v>
      </c>
      <c r="R48" t="str">
        <f>"КАЗАХСТАН, АКМОЛИНСКАЯ, БУЛАНДЫНСКИЙ РАЙОН, МАКИНСК, 48, 3"</f>
        <v>КАЗАХСТАН, АКМОЛИНСКАЯ, БУЛАНДЫНСКИЙ РАЙОН, МАКИНСК, 48, 3</v>
      </c>
      <c r="S48" t="str">
        <f>"ҚАЗАҚСТАН, АҚМОЛА, БҰЛАНДЫ АУДАНЫ, МАКИНСК, 48, 3"</f>
        <v>ҚАЗАҚСТАН, АҚМОЛА, БҰЛАНДЫ АУДАНЫ, МАКИНСК, 48, 3</v>
      </c>
      <c r="T48" t="str">
        <f>"МАКИНСК, 48, 3"</f>
        <v>МАКИНСК, 48, 3</v>
      </c>
      <c r="U48" t="str">
        <f>"МАКИНСК, 48, 3"</f>
        <v>МАКИНСК, 48, 3</v>
      </c>
      <c r="AC48" t="str">
        <f>"2019-08-29T00:00:00"</f>
        <v>2019-08-29T00:00:00</v>
      </c>
      <c r="AD48" t="str">
        <f>"1"</f>
        <v>1</v>
      </c>
      <c r="AG48" t="s">
        <v>202</v>
      </c>
      <c r="AI48" t="s">
        <v>299</v>
      </c>
      <c r="AJ48" t="s">
        <v>419</v>
      </c>
      <c r="AK48" t="s">
        <v>434</v>
      </c>
      <c r="AL48" t="s">
        <v>206</v>
      </c>
      <c r="AN48" t="s">
        <v>254</v>
      </c>
      <c r="AO48">
        <v>1</v>
      </c>
      <c r="AP48" t="s">
        <v>208</v>
      </c>
      <c r="AQ48" t="s">
        <v>209</v>
      </c>
      <c r="AR48" t="s">
        <v>210</v>
      </c>
      <c r="AW48" t="s">
        <v>206</v>
      </c>
      <c r="AX48" t="s">
        <v>211</v>
      </c>
      <c r="AZ48" t="s">
        <v>209</v>
      </c>
      <c r="BI48" t="s">
        <v>212</v>
      </c>
      <c r="BJ48" t="s">
        <v>213</v>
      </c>
      <c r="BK48" t="s">
        <v>214</v>
      </c>
      <c r="BL48" t="s">
        <v>215</v>
      </c>
      <c r="BN48" t="s">
        <v>247</v>
      </c>
      <c r="BO48" t="s">
        <v>209</v>
      </c>
      <c r="BP48" t="s">
        <v>241</v>
      </c>
      <c r="BQ48">
        <v>3</v>
      </c>
      <c r="BS48" t="s">
        <v>219</v>
      </c>
      <c r="BT48" t="s">
        <v>220</v>
      </c>
      <c r="BU48" t="s">
        <v>212</v>
      </c>
      <c r="BX48" t="s">
        <v>221</v>
      </c>
      <c r="BY48" t="s">
        <v>221</v>
      </c>
      <c r="CA48" t="s">
        <v>287</v>
      </c>
      <c r="CC48" t="s">
        <v>222</v>
      </c>
      <c r="CD48" t="s">
        <v>223</v>
      </c>
      <c r="CE48" t="s">
        <v>242</v>
      </c>
      <c r="CJ48" t="s">
        <v>206</v>
      </c>
      <c r="CK48" t="s">
        <v>230</v>
      </c>
      <c r="CL48" t="s">
        <v>231</v>
      </c>
      <c r="CM48" t="s">
        <v>232</v>
      </c>
      <c r="CN48" t="s">
        <v>233</v>
      </c>
      <c r="CP48" t="s">
        <v>212</v>
      </c>
      <c r="CQ48" t="s">
        <v>212</v>
      </c>
      <c r="CR48" t="s">
        <v>212</v>
      </c>
      <c r="CS48" t="s">
        <v>212</v>
      </c>
      <c r="CY48" t="s">
        <v>212</v>
      </c>
      <c r="DB48" t="s">
        <v>234</v>
      </c>
      <c r="DE48" t="s">
        <v>212</v>
      </c>
      <c r="DF48" t="s">
        <v>212</v>
      </c>
      <c r="DG48" t="s">
        <v>235</v>
      </c>
      <c r="DH48" t="s">
        <v>212</v>
      </c>
      <c r="DJ48" t="s">
        <v>236</v>
      </c>
      <c r="DM48" t="s">
        <v>212</v>
      </c>
    </row>
    <row r="49" spans="1:117" x14ac:dyDescent="0.3">
      <c r="A49">
        <v>354889</v>
      </c>
      <c r="B49">
        <v>320374</v>
      </c>
      <c r="C49" t="str">
        <f>"110607500681"</f>
        <v>110607500681</v>
      </c>
      <c r="D49" t="s">
        <v>435</v>
      </c>
      <c r="E49" t="s">
        <v>436</v>
      </c>
      <c r="F49" t="s">
        <v>437</v>
      </c>
      <c r="G49" s="1">
        <v>40701</v>
      </c>
      <c r="I49" t="s">
        <v>240</v>
      </c>
      <c r="J49" t="s">
        <v>200</v>
      </c>
      <c r="K49" t="s">
        <v>201</v>
      </c>
      <c r="R49" t="str">
        <f>"АНДОРРА, АКМОЛИНСКАЯ, СТЕПНОГОРСК, 22, 46"</f>
        <v>АНДОРРА, АКМОЛИНСКАЯ, СТЕПНОГОРСК, 22, 46</v>
      </c>
      <c r="S49" t="str">
        <f>"АНДОРРА, АҚМОЛА, СТЕПНОГОР, 22, 46"</f>
        <v>АНДОРРА, АҚМОЛА, СТЕПНОГОР, 22, 46</v>
      </c>
      <c r="T49" t="str">
        <f>"22, 46"</f>
        <v>22, 46</v>
      </c>
      <c r="U49" t="str">
        <f>"22, 46"</f>
        <v>22, 46</v>
      </c>
      <c r="AC49" t="str">
        <f>"2017-08-29T00:00:00"</f>
        <v>2017-08-29T00:00:00</v>
      </c>
      <c r="AD49" t="str">
        <f>"112"</f>
        <v>112</v>
      </c>
      <c r="AG49" t="s">
        <v>202</v>
      </c>
      <c r="AI49" t="s">
        <v>274</v>
      </c>
      <c r="AJ49" t="s">
        <v>300</v>
      </c>
      <c r="AK49" t="s">
        <v>253</v>
      </c>
      <c r="AL49" t="s">
        <v>206</v>
      </c>
      <c r="AN49" t="s">
        <v>254</v>
      </c>
      <c r="AO49">
        <v>1</v>
      </c>
      <c r="AP49" t="s">
        <v>208</v>
      </c>
      <c r="AQ49" t="s">
        <v>209</v>
      </c>
      <c r="AR49" t="s">
        <v>210</v>
      </c>
      <c r="AW49" t="s">
        <v>206</v>
      </c>
      <c r="AX49" t="s">
        <v>211</v>
      </c>
      <c r="AZ49" t="s">
        <v>209</v>
      </c>
      <c r="BI49" t="s">
        <v>212</v>
      </c>
      <c r="BJ49" t="s">
        <v>213</v>
      </c>
      <c r="BK49" t="s">
        <v>214</v>
      </c>
      <c r="BL49" t="s">
        <v>215</v>
      </c>
      <c r="BN49" t="s">
        <v>216</v>
      </c>
      <c r="BO49" t="s">
        <v>209</v>
      </c>
      <c r="BP49" t="s">
        <v>241</v>
      </c>
      <c r="BQ49">
        <v>4</v>
      </c>
      <c r="BS49" t="s">
        <v>219</v>
      </c>
      <c r="BT49" t="s">
        <v>220</v>
      </c>
      <c r="BU49" t="s">
        <v>206</v>
      </c>
      <c r="BX49" t="s">
        <v>221</v>
      </c>
      <c r="BY49" t="s">
        <v>221</v>
      </c>
      <c r="CA49" t="s">
        <v>249</v>
      </c>
      <c r="CB49" t="s">
        <v>223</v>
      </c>
      <c r="CC49" t="s">
        <v>222</v>
      </c>
      <c r="CD49" t="s">
        <v>223</v>
      </c>
      <c r="CE49" t="s">
        <v>225</v>
      </c>
      <c r="CF49" t="s">
        <v>226</v>
      </c>
      <c r="CG49" t="s">
        <v>227</v>
      </c>
      <c r="CH49" t="s">
        <v>228</v>
      </c>
      <c r="CI49" t="s">
        <v>438</v>
      </c>
      <c r="CJ49" t="s">
        <v>206</v>
      </c>
      <c r="CK49" t="s">
        <v>230</v>
      </c>
      <c r="CL49" t="s">
        <v>231</v>
      </c>
      <c r="CM49" t="s">
        <v>232</v>
      </c>
      <c r="CN49" t="s">
        <v>233</v>
      </c>
      <c r="CP49" t="s">
        <v>212</v>
      </c>
      <c r="CQ49" t="s">
        <v>212</v>
      </c>
      <c r="CR49" t="s">
        <v>212</v>
      </c>
      <c r="CS49" t="s">
        <v>212</v>
      </c>
      <c r="CY49" t="s">
        <v>212</v>
      </c>
      <c r="DB49" t="s">
        <v>234</v>
      </c>
      <c r="DE49" t="s">
        <v>212</v>
      </c>
      <c r="DF49" t="s">
        <v>212</v>
      </c>
      <c r="DG49" t="s">
        <v>235</v>
      </c>
      <c r="DH49" t="s">
        <v>212</v>
      </c>
      <c r="DJ49" t="s">
        <v>236</v>
      </c>
      <c r="DM49" t="s">
        <v>212</v>
      </c>
    </row>
    <row r="50" spans="1:117" x14ac:dyDescent="0.3">
      <c r="A50">
        <v>355377</v>
      </c>
      <c r="B50">
        <v>320802</v>
      </c>
      <c r="C50" t="str">
        <f>"090624651171"</f>
        <v>090624651171</v>
      </c>
      <c r="D50" t="s">
        <v>439</v>
      </c>
      <c r="E50" t="s">
        <v>372</v>
      </c>
      <c r="F50" t="s">
        <v>352</v>
      </c>
      <c r="G50" s="1">
        <v>39988</v>
      </c>
      <c r="I50" t="s">
        <v>199</v>
      </c>
      <c r="J50" t="s">
        <v>200</v>
      </c>
      <c r="K50" t="s">
        <v>306</v>
      </c>
      <c r="R50" t="str">
        <f>"АНДОРРА, АКМОЛИНСКАЯ, СТЕПНОГОРСК, 74, 32"</f>
        <v>АНДОРРА, АКМОЛИНСКАЯ, СТЕПНОГОРСК, 74, 32</v>
      </c>
      <c r="S50" t="str">
        <f>"АНДОРРА, АҚМОЛА, СТЕПНОГОР, 74, 32"</f>
        <v>АНДОРРА, АҚМОЛА, СТЕПНОГОР, 74, 32</v>
      </c>
      <c r="T50" t="str">
        <f>"74, 32"</f>
        <v>74, 32</v>
      </c>
      <c r="U50" t="str">
        <f>"74, 32"</f>
        <v>74, 32</v>
      </c>
      <c r="AC50" t="str">
        <f>"2016-09-01T00:00:00"</f>
        <v>2016-09-01T00:00:00</v>
      </c>
      <c r="AD50" t="str">
        <f>"1"</f>
        <v>1</v>
      </c>
      <c r="AG50" t="s">
        <v>202</v>
      </c>
      <c r="AH50" t="str">
        <f>"ckool007@mail.ru"</f>
        <v>ckool007@mail.ru</v>
      </c>
      <c r="AI50" t="s">
        <v>274</v>
      </c>
      <c r="AJ50" t="s">
        <v>286</v>
      </c>
      <c r="AK50" t="s">
        <v>246</v>
      </c>
      <c r="AL50" t="s">
        <v>206</v>
      </c>
      <c r="AN50" t="s">
        <v>207</v>
      </c>
      <c r="AO50">
        <v>1</v>
      </c>
      <c r="AP50" t="s">
        <v>208</v>
      </c>
      <c r="AQ50" t="s">
        <v>209</v>
      </c>
      <c r="AR50" t="s">
        <v>210</v>
      </c>
      <c r="AW50" t="s">
        <v>206</v>
      </c>
      <c r="AX50" t="s">
        <v>211</v>
      </c>
      <c r="AZ50" t="s">
        <v>209</v>
      </c>
      <c r="BI50" t="s">
        <v>212</v>
      </c>
      <c r="BJ50" t="s">
        <v>213</v>
      </c>
      <c r="BK50" t="s">
        <v>214</v>
      </c>
      <c r="BL50" t="s">
        <v>215</v>
      </c>
      <c r="BN50" t="s">
        <v>247</v>
      </c>
      <c r="BO50" t="s">
        <v>209</v>
      </c>
      <c r="BP50" t="s">
        <v>241</v>
      </c>
      <c r="BQ50">
        <v>3</v>
      </c>
      <c r="BS50" t="s">
        <v>219</v>
      </c>
      <c r="BT50" t="s">
        <v>220</v>
      </c>
      <c r="BU50" t="s">
        <v>206</v>
      </c>
      <c r="BX50" t="s">
        <v>234</v>
      </c>
      <c r="BY50" t="s">
        <v>234</v>
      </c>
      <c r="CA50" t="s">
        <v>287</v>
      </c>
      <c r="CC50" t="s">
        <v>209</v>
      </c>
      <c r="CE50" t="s">
        <v>242</v>
      </c>
      <c r="CJ50" t="s">
        <v>206</v>
      </c>
      <c r="CK50" t="s">
        <v>291</v>
      </c>
      <c r="CM50" t="s">
        <v>292</v>
      </c>
      <c r="CN50" t="s">
        <v>233</v>
      </c>
      <c r="CP50" t="s">
        <v>212</v>
      </c>
      <c r="CQ50" t="s">
        <v>212</v>
      </c>
      <c r="CR50" t="s">
        <v>212</v>
      </c>
      <c r="CS50" t="s">
        <v>212</v>
      </c>
      <c r="CY50" t="s">
        <v>212</v>
      </c>
      <c r="DB50" t="s">
        <v>234</v>
      </c>
      <c r="DE50" t="s">
        <v>212</v>
      </c>
      <c r="DF50" t="s">
        <v>212</v>
      </c>
      <c r="DG50" t="s">
        <v>235</v>
      </c>
      <c r="DH50" t="s">
        <v>212</v>
      </c>
      <c r="DJ50" t="s">
        <v>236</v>
      </c>
      <c r="DM50" t="s">
        <v>212</v>
      </c>
    </row>
    <row r="51" spans="1:117" x14ac:dyDescent="0.3">
      <c r="A51">
        <v>355410</v>
      </c>
      <c r="B51">
        <v>320827</v>
      </c>
      <c r="C51" t="str">
        <f>"100103652469"</f>
        <v>100103652469</v>
      </c>
      <c r="D51" t="s">
        <v>440</v>
      </c>
      <c r="E51" t="s">
        <v>347</v>
      </c>
      <c r="F51" t="s">
        <v>441</v>
      </c>
      <c r="G51" s="1">
        <v>40181</v>
      </c>
      <c r="I51" t="s">
        <v>199</v>
      </c>
      <c r="J51" t="s">
        <v>200</v>
      </c>
      <c r="K51" t="s">
        <v>369</v>
      </c>
      <c r="R51" t="str">
        <f>"АНДОРРА, АКМОЛИНСКАЯ, СТЕПНОГОРСК, 21, 5"</f>
        <v>АНДОРРА, АКМОЛИНСКАЯ, СТЕПНОГОРСК, 21, 5</v>
      </c>
      <c r="S51" t="str">
        <f>"АНДОРРА, АҚМОЛА, СТЕПНОГОР, 21, 5"</f>
        <v>АНДОРРА, АҚМОЛА, СТЕПНОГОР, 21, 5</v>
      </c>
      <c r="T51" t="str">
        <f>"21, 5"</f>
        <v>21, 5</v>
      </c>
      <c r="U51" t="str">
        <f>"21, 5"</f>
        <v>21, 5</v>
      </c>
      <c r="AC51" t="str">
        <f>"2016-09-01T00:00:00"</f>
        <v>2016-09-01T00:00:00</v>
      </c>
      <c r="AD51" t="str">
        <f>"1"</f>
        <v>1</v>
      </c>
      <c r="AG51" t="s">
        <v>202</v>
      </c>
      <c r="AI51" t="s">
        <v>274</v>
      </c>
      <c r="AJ51" t="s">
        <v>300</v>
      </c>
      <c r="AK51" t="s">
        <v>261</v>
      </c>
      <c r="AL51" t="s">
        <v>206</v>
      </c>
      <c r="AN51" t="s">
        <v>207</v>
      </c>
      <c r="AO51">
        <v>1</v>
      </c>
      <c r="AP51" t="s">
        <v>208</v>
      </c>
      <c r="AQ51" t="s">
        <v>209</v>
      </c>
      <c r="AR51" t="s">
        <v>210</v>
      </c>
      <c r="AW51" t="s">
        <v>206</v>
      </c>
      <c r="AX51" t="s">
        <v>211</v>
      </c>
      <c r="AZ51" t="s">
        <v>209</v>
      </c>
      <c r="BI51" t="s">
        <v>212</v>
      </c>
      <c r="BJ51" t="s">
        <v>213</v>
      </c>
      <c r="BK51" t="s">
        <v>214</v>
      </c>
      <c r="BL51" t="s">
        <v>215</v>
      </c>
      <c r="BN51" t="s">
        <v>247</v>
      </c>
      <c r="BO51" t="s">
        <v>209</v>
      </c>
      <c r="BP51" t="s">
        <v>241</v>
      </c>
      <c r="BQ51">
        <v>4</v>
      </c>
      <c r="BS51" t="s">
        <v>219</v>
      </c>
      <c r="BT51" t="s">
        <v>220</v>
      </c>
      <c r="BU51" t="s">
        <v>206</v>
      </c>
      <c r="BX51" t="s">
        <v>234</v>
      </c>
      <c r="BY51" t="s">
        <v>234</v>
      </c>
      <c r="CA51" t="s">
        <v>222</v>
      </c>
      <c r="CB51" t="s">
        <v>223</v>
      </c>
      <c r="CC51" t="s">
        <v>222</v>
      </c>
      <c r="CD51" t="s">
        <v>223</v>
      </c>
      <c r="CE51" t="s">
        <v>242</v>
      </c>
      <c r="CJ51" t="s">
        <v>206</v>
      </c>
      <c r="CK51" t="s">
        <v>230</v>
      </c>
      <c r="CL51" t="s">
        <v>231</v>
      </c>
      <c r="CM51" t="s">
        <v>232</v>
      </c>
      <c r="CN51" t="s">
        <v>233</v>
      </c>
      <c r="CP51" t="s">
        <v>212</v>
      </c>
      <c r="CQ51" t="s">
        <v>212</v>
      </c>
      <c r="CR51" t="s">
        <v>212</v>
      </c>
      <c r="CS51" t="s">
        <v>212</v>
      </c>
      <c r="CY51" t="s">
        <v>212</v>
      </c>
      <c r="DB51" t="s">
        <v>234</v>
      </c>
      <c r="DE51" t="s">
        <v>212</v>
      </c>
      <c r="DF51" t="s">
        <v>212</v>
      </c>
      <c r="DG51" t="s">
        <v>235</v>
      </c>
      <c r="DH51" t="s">
        <v>212</v>
      </c>
      <c r="DJ51" t="s">
        <v>236</v>
      </c>
      <c r="DM51" t="s">
        <v>212</v>
      </c>
    </row>
    <row r="52" spans="1:117" x14ac:dyDescent="0.3">
      <c r="A52">
        <v>355863</v>
      </c>
      <c r="B52">
        <v>321240</v>
      </c>
      <c r="C52" t="str">
        <f>"120309500255"</f>
        <v>120309500255</v>
      </c>
      <c r="D52" t="s">
        <v>442</v>
      </c>
      <c r="E52" t="s">
        <v>443</v>
      </c>
      <c r="F52" t="s">
        <v>444</v>
      </c>
      <c r="G52" s="1">
        <v>40977</v>
      </c>
      <c r="I52" t="s">
        <v>240</v>
      </c>
      <c r="J52" t="s">
        <v>200</v>
      </c>
      <c r="K52" t="s">
        <v>201</v>
      </c>
      <c r="Q52" t="s">
        <v>212</v>
      </c>
      <c r="R52" t="str">
        <f>"КАЗАХСТАН, АКМОЛИНСКАЯ, СТЕПНОГОРСК, -, 32, 12"</f>
        <v>КАЗАХСТАН, АКМОЛИНСКАЯ, СТЕПНОГОРСК, -, 32, 12</v>
      </c>
      <c r="S52" t="str">
        <f>"ҚАЗАҚСТАН, АҚМОЛА, СТЕПНОГОР, -, 32, 12"</f>
        <v>ҚАЗАҚСТАН, АҚМОЛА, СТЕПНОГОР, -, 32, 12</v>
      </c>
      <c r="T52" t="str">
        <f>"-, 32, 12"</f>
        <v>-, 32, 12</v>
      </c>
      <c r="U52" t="str">
        <f>"-, 32, 12"</f>
        <v>-, 32, 12</v>
      </c>
      <c r="AC52" t="str">
        <f>"2018-08-29T00:00:00"</f>
        <v>2018-08-29T00:00:00</v>
      </c>
      <c r="AD52" t="str">
        <f>"140"</f>
        <v>140</v>
      </c>
      <c r="AG52" t="s">
        <v>202</v>
      </c>
      <c r="AI52" t="s">
        <v>203</v>
      </c>
      <c r="AJ52" t="s">
        <v>348</v>
      </c>
      <c r="AK52" t="s">
        <v>205</v>
      </c>
      <c r="AL52" t="s">
        <v>206</v>
      </c>
      <c r="AN52" t="s">
        <v>207</v>
      </c>
      <c r="AO52">
        <v>1</v>
      </c>
      <c r="AP52" t="s">
        <v>208</v>
      </c>
      <c r="AQ52" t="s">
        <v>209</v>
      </c>
      <c r="AR52" t="s">
        <v>307</v>
      </c>
      <c r="AW52" t="s">
        <v>206</v>
      </c>
      <c r="AX52" t="s">
        <v>211</v>
      </c>
      <c r="AZ52" t="s">
        <v>209</v>
      </c>
      <c r="BI52" t="s">
        <v>212</v>
      </c>
      <c r="BJ52" t="s">
        <v>213</v>
      </c>
      <c r="BK52" t="s">
        <v>214</v>
      </c>
      <c r="BL52" t="s">
        <v>215</v>
      </c>
      <c r="BN52" t="s">
        <v>216</v>
      </c>
      <c r="BO52" t="s">
        <v>209</v>
      </c>
      <c r="BP52" t="s">
        <v>241</v>
      </c>
      <c r="BQ52">
        <v>5</v>
      </c>
      <c r="BS52" t="s">
        <v>219</v>
      </c>
      <c r="BT52" t="s">
        <v>220</v>
      </c>
      <c r="BU52" t="s">
        <v>206</v>
      </c>
      <c r="BX52" t="s">
        <v>221</v>
      </c>
      <c r="BY52" t="s">
        <v>221</v>
      </c>
      <c r="CA52" t="s">
        <v>222</v>
      </c>
      <c r="CB52" t="s">
        <v>223</v>
      </c>
      <c r="CC52" t="s">
        <v>301</v>
      </c>
      <c r="CD52" t="s">
        <v>223</v>
      </c>
      <c r="CE52" t="s">
        <v>242</v>
      </c>
      <c r="CJ52" t="s">
        <v>206</v>
      </c>
      <c r="CK52" t="s">
        <v>230</v>
      </c>
      <c r="CL52" t="s">
        <v>231</v>
      </c>
      <c r="CM52" t="s">
        <v>232</v>
      </c>
      <c r="CN52" t="s">
        <v>233</v>
      </c>
      <c r="CP52" t="s">
        <v>212</v>
      </c>
      <c r="CQ52" t="s">
        <v>212</v>
      </c>
      <c r="CR52" t="s">
        <v>212</v>
      </c>
      <c r="CS52" t="s">
        <v>212</v>
      </c>
      <c r="CY52" t="s">
        <v>212</v>
      </c>
      <c r="DB52" t="s">
        <v>234</v>
      </c>
      <c r="DE52" t="s">
        <v>212</v>
      </c>
      <c r="DF52" t="s">
        <v>212</v>
      </c>
      <c r="DG52" t="s">
        <v>235</v>
      </c>
      <c r="DH52" t="s">
        <v>212</v>
      </c>
      <c r="DJ52" t="s">
        <v>236</v>
      </c>
      <c r="DM52" t="s">
        <v>212</v>
      </c>
    </row>
    <row r="53" spans="1:117" x14ac:dyDescent="0.3">
      <c r="A53">
        <v>356146</v>
      </c>
      <c r="B53">
        <v>321485</v>
      </c>
      <c r="C53" t="str">
        <f>"121222600192"</f>
        <v>121222600192</v>
      </c>
      <c r="D53" t="s">
        <v>445</v>
      </c>
      <c r="E53" t="s">
        <v>446</v>
      </c>
      <c r="F53" t="s">
        <v>447</v>
      </c>
      <c r="G53" s="1">
        <v>41265</v>
      </c>
      <c r="I53" t="s">
        <v>199</v>
      </c>
      <c r="J53" t="s">
        <v>200</v>
      </c>
      <c r="K53" t="s">
        <v>201</v>
      </c>
      <c r="Q53" t="s">
        <v>212</v>
      </c>
      <c r="R53" t="str">
        <f>"КАЗАХСТАН, АКМОЛИНСКАЯ, СТЕПНОГОРСК, Карабулак, 8"</f>
        <v>КАЗАХСТАН, АКМОЛИНСКАЯ, СТЕПНОГОРСК, Карабулак, 8</v>
      </c>
      <c r="S53" t="str">
        <f>"ҚАЗАҚСТАН, АҚМОЛА, СТЕПНОГОР, Карабулак, 8"</f>
        <v>ҚАЗАҚСТАН, АҚМОЛА, СТЕПНОГОР, Карабулак, 8</v>
      </c>
      <c r="T53" t="str">
        <f>"Карабулак, 8"</f>
        <v>Карабулак, 8</v>
      </c>
      <c r="U53" t="str">
        <f>"Карабулак, 8"</f>
        <v>Карабулак, 8</v>
      </c>
      <c r="AC53" t="str">
        <f>"2019-08-26T00:00:00"</f>
        <v>2019-08-26T00:00:00</v>
      </c>
      <c r="AD53" t="str">
        <f>"153"</f>
        <v>153</v>
      </c>
      <c r="AG53" t="s">
        <v>202</v>
      </c>
      <c r="AI53" t="s">
        <v>299</v>
      </c>
      <c r="AJ53" t="s">
        <v>419</v>
      </c>
      <c r="AK53" t="s">
        <v>246</v>
      </c>
      <c r="AL53" t="s">
        <v>206</v>
      </c>
      <c r="AN53" t="s">
        <v>207</v>
      </c>
      <c r="AO53">
        <v>1</v>
      </c>
      <c r="AP53" t="s">
        <v>208</v>
      </c>
      <c r="AQ53" t="s">
        <v>209</v>
      </c>
      <c r="AR53" t="s">
        <v>210</v>
      </c>
      <c r="AW53" t="s">
        <v>206</v>
      </c>
      <c r="AX53" t="s">
        <v>211</v>
      </c>
      <c r="AZ53" t="s">
        <v>209</v>
      </c>
      <c r="BC53" t="str">
        <f>"15"</f>
        <v>15</v>
      </c>
      <c r="BD53" t="str">
        <f>"2022-09-07T00:00:00"</f>
        <v>2022-09-07T00:00:00</v>
      </c>
      <c r="BI53" t="s">
        <v>212</v>
      </c>
      <c r="BJ53" t="s">
        <v>213</v>
      </c>
      <c r="BK53" t="s">
        <v>214</v>
      </c>
      <c r="BL53" t="s">
        <v>215</v>
      </c>
      <c r="BN53" t="s">
        <v>247</v>
      </c>
      <c r="BO53" t="s">
        <v>209</v>
      </c>
      <c r="BP53" t="s">
        <v>415</v>
      </c>
      <c r="BQ53" t="s">
        <v>416</v>
      </c>
      <c r="BS53" t="s">
        <v>219</v>
      </c>
      <c r="BT53" t="s">
        <v>220</v>
      </c>
      <c r="BU53" t="s">
        <v>206</v>
      </c>
      <c r="BX53" t="s">
        <v>221</v>
      </c>
      <c r="BY53" t="s">
        <v>221</v>
      </c>
      <c r="CA53" t="s">
        <v>287</v>
      </c>
      <c r="CC53" t="s">
        <v>222</v>
      </c>
      <c r="CD53" t="s">
        <v>223</v>
      </c>
      <c r="CE53" t="s">
        <v>242</v>
      </c>
      <c r="CJ53" t="s">
        <v>206</v>
      </c>
      <c r="CK53" t="s">
        <v>230</v>
      </c>
      <c r="CL53" t="s">
        <v>231</v>
      </c>
      <c r="CM53" t="s">
        <v>232</v>
      </c>
      <c r="CN53" t="s">
        <v>233</v>
      </c>
      <c r="CP53" t="s">
        <v>212</v>
      </c>
      <c r="CQ53" t="s">
        <v>212</v>
      </c>
      <c r="CR53" t="s">
        <v>212</v>
      </c>
      <c r="CS53" t="s">
        <v>212</v>
      </c>
      <c r="CY53" t="s">
        <v>212</v>
      </c>
      <c r="DB53" t="s">
        <v>234</v>
      </c>
      <c r="DE53" t="s">
        <v>212</v>
      </c>
      <c r="DF53" t="s">
        <v>212</v>
      </c>
      <c r="DG53" t="s">
        <v>235</v>
      </c>
      <c r="DH53" t="s">
        <v>212</v>
      </c>
      <c r="DJ53" t="s">
        <v>236</v>
      </c>
      <c r="DM53" t="s">
        <v>212</v>
      </c>
    </row>
    <row r="54" spans="1:117" x14ac:dyDescent="0.3">
      <c r="A54">
        <v>356405</v>
      </c>
      <c r="B54">
        <v>321709</v>
      </c>
      <c r="C54" t="str">
        <f>"121020650021"</f>
        <v>121020650021</v>
      </c>
      <c r="D54" t="s">
        <v>448</v>
      </c>
      <c r="E54" t="s">
        <v>449</v>
      </c>
      <c r="F54" t="s">
        <v>450</v>
      </c>
      <c r="G54" s="1">
        <v>41202</v>
      </c>
      <c r="I54" t="s">
        <v>199</v>
      </c>
      <c r="J54" t="s">
        <v>200</v>
      </c>
      <c r="K54" t="s">
        <v>201</v>
      </c>
      <c r="Q54" t="s">
        <v>212</v>
      </c>
      <c r="R54" t="str">
        <f>"-"</f>
        <v>-</v>
      </c>
      <c r="S54" t="str">
        <f>"-"</f>
        <v>-</v>
      </c>
      <c r="T54" t="str">
        <f>"-"</f>
        <v>-</v>
      </c>
      <c r="U54" t="str">
        <f>"-"</f>
        <v>-</v>
      </c>
      <c r="AC54" t="str">
        <f>"2019-08-29T00:00:00"</f>
        <v>2019-08-29T00:00:00</v>
      </c>
      <c r="AD54" t="str">
        <f>"139"</f>
        <v>139</v>
      </c>
      <c r="AE54" t="str">
        <f>"2023-09-01T13:32:56"</f>
        <v>2023-09-01T13:32:56</v>
      </c>
      <c r="AF54" t="str">
        <f>"2024-05-25T13:32:56"</f>
        <v>2024-05-25T13:32:56</v>
      </c>
      <c r="AG54" t="s">
        <v>202</v>
      </c>
      <c r="AI54" t="s">
        <v>203</v>
      </c>
      <c r="AJ54" t="s">
        <v>419</v>
      </c>
      <c r="AK54" t="s">
        <v>434</v>
      </c>
      <c r="AL54" t="s">
        <v>206</v>
      </c>
      <c r="AN54" t="s">
        <v>254</v>
      </c>
      <c r="AO54">
        <v>1</v>
      </c>
      <c r="AP54" t="s">
        <v>208</v>
      </c>
      <c r="AQ54" t="s">
        <v>209</v>
      </c>
      <c r="AR54" t="s">
        <v>210</v>
      </c>
      <c r="AW54" t="s">
        <v>206</v>
      </c>
      <c r="AX54" t="s">
        <v>211</v>
      </c>
      <c r="AZ54" t="s">
        <v>209</v>
      </c>
      <c r="BI54" t="s">
        <v>212</v>
      </c>
      <c r="BJ54" t="s">
        <v>213</v>
      </c>
      <c r="BK54" t="s">
        <v>214</v>
      </c>
      <c r="BL54" t="s">
        <v>215</v>
      </c>
      <c r="BN54" t="s">
        <v>247</v>
      </c>
      <c r="BO54" t="s">
        <v>209</v>
      </c>
      <c r="BP54" t="s">
        <v>241</v>
      </c>
      <c r="BQ54">
        <v>3</v>
      </c>
      <c r="BS54" t="s">
        <v>219</v>
      </c>
      <c r="BT54" t="s">
        <v>220</v>
      </c>
      <c r="BU54" t="s">
        <v>212</v>
      </c>
      <c r="BX54" t="s">
        <v>221</v>
      </c>
      <c r="BY54" t="s">
        <v>221</v>
      </c>
      <c r="CA54" t="s">
        <v>287</v>
      </c>
      <c r="CC54" t="s">
        <v>222</v>
      </c>
      <c r="CD54" t="s">
        <v>223</v>
      </c>
      <c r="CE54" t="s">
        <v>242</v>
      </c>
      <c r="CJ54" t="s">
        <v>206</v>
      </c>
      <c r="CK54" t="s">
        <v>230</v>
      </c>
      <c r="CL54" t="s">
        <v>231</v>
      </c>
      <c r="CM54" t="s">
        <v>232</v>
      </c>
      <c r="CN54" t="s">
        <v>233</v>
      </c>
      <c r="CP54" t="s">
        <v>212</v>
      </c>
      <c r="CQ54" t="s">
        <v>212</v>
      </c>
      <c r="CR54" t="s">
        <v>212</v>
      </c>
      <c r="CS54" t="s">
        <v>212</v>
      </c>
      <c r="CY54" t="s">
        <v>212</v>
      </c>
      <c r="DB54" t="s">
        <v>234</v>
      </c>
      <c r="DE54" t="s">
        <v>212</v>
      </c>
      <c r="DF54" t="s">
        <v>212</v>
      </c>
      <c r="DG54" t="s">
        <v>235</v>
      </c>
      <c r="DH54" t="s">
        <v>212</v>
      </c>
      <c r="DJ54" t="s">
        <v>236</v>
      </c>
      <c r="DM54" t="s">
        <v>212</v>
      </c>
    </row>
    <row r="55" spans="1:117" x14ac:dyDescent="0.3">
      <c r="A55">
        <v>357041</v>
      </c>
      <c r="B55">
        <v>322285</v>
      </c>
      <c r="C55" t="str">
        <f>"110302604739"</f>
        <v>110302604739</v>
      </c>
      <c r="D55" t="s">
        <v>451</v>
      </c>
      <c r="E55" t="s">
        <v>452</v>
      </c>
      <c r="F55" t="s">
        <v>453</v>
      </c>
      <c r="G55" s="1">
        <v>40604</v>
      </c>
      <c r="I55" t="s">
        <v>199</v>
      </c>
      <c r="J55" t="s">
        <v>200</v>
      </c>
      <c r="K55" t="s">
        <v>201</v>
      </c>
      <c r="R55" t="str">
        <f>"АНДОРРА, АКМОЛИНСКАЯ, СТЕПНОГОРСК, 87, 57"</f>
        <v>АНДОРРА, АКМОЛИНСКАЯ, СТЕПНОГОРСК, 87, 57</v>
      </c>
      <c r="S55" t="str">
        <f>"АНДОРРА, АҚМОЛА, СТЕПНОГОР, 87, 57"</f>
        <v>АНДОРРА, АҚМОЛА, СТЕПНОГОР, 87, 57</v>
      </c>
      <c r="T55" t="str">
        <f>"87, 57"</f>
        <v>87, 57</v>
      </c>
      <c r="U55" t="str">
        <f>"87, 57"</f>
        <v>87, 57</v>
      </c>
      <c r="AC55" t="str">
        <f>"2017-08-29T00:00:00"</f>
        <v>2017-08-29T00:00:00</v>
      </c>
      <c r="AD55" t="str">
        <f>"112"</f>
        <v>112</v>
      </c>
      <c r="AG55" t="s">
        <v>202</v>
      </c>
      <c r="AI55" t="s">
        <v>274</v>
      </c>
      <c r="AJ55" t="s">
        <v>300</v>
      </c>
      <c r="AK55" t="s">
        <v>253</v>
      </c>
      <c r="AL55" t="s">
        <v>206</v>
      </c>
      <c r="AN55" t="s">
        <v>254</v>
      </c>
      <c r="AO55">
        <v>1</v>
      </c>
      <c r="AP55" t="s">
        <v>208</v>
      </c>
      <c r="AQ55" t="s">
        <v>209</v>
      </c>
      <c r="AR55" t="s">
        <v>210</v>
      </c>
      <c r="AW55" t="s">
        <v>206</v>
      </c>
      <c r="AX55" t="s">
        <v>211</v>
      </c>
      <c r="AZ55" t="s">
        <v>209</v>
      </c>
      <c r="BI55" t="s">
        <v>212</v>
      </c>
      <c r="BJ55" t="s">
        <v>213</v>
      </c>
      <c r="BK55" t="s">
        <v>214</v>
      </c>
      <c r="BL55" t="s">
        <v>215</v>
      </c>
      <c r="BN55" t="s">
        <v>216</v>
      </c>
      <c r="BO55" t="s">
        <v>209</v>
      </c>
      <c r="BP55" t="s">
        <v>241</v>
      </c>
      <c r="BQ55">
        <v>5</v>
      </c>
      <c r="BS55" t="s">
        <v>219</v>
      </c>
      <c r="BT55" t="s">
        <v>220</v>
      </c>
      <c r="BU55" t="s">
        <v>206</v>
      </c>
      <c r="BX55" t="s">
        <v>221</v>
      </c>
      <c r="BY55" t="s">
        <v>221</v>
      </c>
      <c r="CA55" t="s">
        <v>222</v>
      </c>
      <c r="CB55" t="s">
        <v>223</v>
      </c>
      <c r="CC55" t="s">
        <v>222</v>
      </c>
      <c r="CD55" t="s">
        <v>223</v>
      </c>
      <c r="CE55" t="s">
        <v>242</v>
      </c>
      <c r="CJ55" t="s">
        <v>206</v>
      </c>
      <c r="CK55" t="s">
        <v>230</v>
      </c>
      <c r="CL55" t="s">
        <v>231</v>
      </c>
      <c r="CM55" t="s">
        <v>232</v>
      </c>
      <c r="CN55" t="s">
        <v>233</v>
      </c>
      <c r="CP55" t="s">
        <v>212</v>
      </c>
      <c r="CQ55" t="s">
        <v>212</v>
      </c>
      <c r="CR55" t="s">
        <v>212</v>
      </c>
      <c r="CS55" t="s">
        <v>212</v>
      </c>
      <c r="CY55" t="s">
        <v>212</v>
      </c>
      <c r="DB55" t="s">
        <v>234</v>
      </c>
      <c r="DE55" t="s">
        <v>212</v>
      </c>
      <c r="DF55" t="s">
        <v>212</v>
      </c>
      <c r="DG55" t="s">
        <v>235</v>
      </c>
      <c r="DH55" t="s">
        <v>212</v>
      </c>
      <c r="DJ55" t="s">
        <v>236</v>
      </c>
      <c r="DM55" t="s">
        <v>206</v>
      </c>
    </row>
    <row r="56" spans="1:117" x14ac:dyDescent="0.3">
      <c r="A56">
        <v>357063</v>
      </c>
      <c r="B56">
        <v>322307</v>
      </c>
      <c r="C56" t="str">
        <f>"110129550043"</f>
        <v>110129550043</v>
      </c>
      <c r="D56" t="s">
        <v>454</v>
      </c>
      <c r="E56" t="s">
        <v>455</v>
      </c>
      <c r="F56" t="s">
        <v>456</v>
      </c>
      <c r="G56" s="1">
        <v>40572</v>
      </c>
      <c r="I56" t="s">
        <v>240</v>
      </c>
      <c r="J56" t="s">
        <v>200</v>
      </c>
      <c r="K56" t="s">
        <v>201</v>
      </c>
      <c r="Q56" t="s">
        <v>212</v>
      </c>
      <c r="R56" t="str">
        <f>"КАЗАХСТАН, АКМОЛИНСКАЯ, СТЕПНОГОРСК, 11, 104"</f>
        <v>КАЗАХСТАН, АКМОЛИНСКАЯ, СТЕПНОГОРСК, 11, 104</v>
      </c>
      <c r="S56" t="str">
        <f>"ҚАЗАҚСТАН, АҚМОЛА, СТЕПНОГОР, 11, 104"</f>
        <v>ҚАЗАҚСТАН, АҚМОЛА, СТЕПНОГОР, 11, 104</v>
      </c>
      <c r="T56" t="str">
        <f>"11, 104"</f>
        <v>11, 104</v>
      </c>
      <c r="U56" t="str">
        <f>"11, 104"</f>
        <v>11, 104</v>
      </c>
      <c r="AC56" t="str">
        <f>"2017-08-29T00:00:00"</f>
        <v>2017-08-29T00:00:00</v>
      </c>
      <c r="AD56" t="str">
        <f>"112"</f>
        <v>112</v>
      </c>
      <c r="AG56" t="s">
        <v>202</v>
      </c>
      <c r="AI56" t="s">
        <v>274</v>
      </c>
      <c r="AJ56" t="s">
        <v>348</v>
      </c>
      <c r="AK56" t="s">
        <v>253</v>
      </c>
      <c r="AL56" t="s">
        <v>206</v>
      </c>
      <c r="AN56" t="s">
        <v>254</v>
      </c>
      <c r="AO56">
        <v>1</v>
      </c>
      <c r="AP56" t="s">
        <v>208</v>
      </c>
      <c r="AQ56" t="s">
        <v>209</v>
      </c>
      <c r="AR56" t="s">
        <v>262</v>
      </c>
      <c r="AW56" t="s">
        <v>206</v>
      </c>
      <c r="AX56" t="s">
        <v>211</v>
      </c>
      <c r="AZ56" t="s">
        <v>209</v>
      </c>
      <c r="BI56" t="s">
        <v>212</v>
      </c>
      <c r="BJ56" t="s">
        <v>213</v>
      </c>
      <c r="BK56" t="s">
        <v>214</v>
      </c>
      <c r="BL56" t="s">
        <v>215</v>
      </c>
      <c r="BN56" t="s">
        <v>216</v>
      </c>
      <c r="BO56" t="s">
        <v>209</v>
      </c>
      <c r="BP56" t="s">
        <v>241</v>
      </c>
      <c r="BQ56">
        <v>4</v>
      </c>
      <c r="BS56" t="s">
        <v>219</v>
      </c>
      <c r="BT56" t="s">
        <v>220</v>
      </c>
      <c r="BU56" t="s">
        <v>206</v>
      </c>
      <c r="BX56" t="s">
        <v>221</v>
      </c>
      <c r="BY56" t="s">
        <v>221</v>
      </c>
      <c r="CA56" t="s">
        <v>222</v>
      </c>
      <c r="CB56" t="s">
        <v>223</v>
      </c>
      <c r="CC56" t="s">
        <v>222</v>
      </c>
      <c r="CD56" t="s">
        <v>223</v>
      </c>
      <c r="CE56" t="s">
        <v>225</v>
      </c>
      <c r="CF56" t="s">
        <v>226</v>
      </c>
      <c r="CG56" t="s">
        <v>227</v>
      </c>
      <c r="CH56" t="s">
        <v>228</v>
      </c>
      <c r="CI56" t="s">
        <v>457</v>
      </c>
      <c r="CJ56" t="s">
        <v>206</v>
      </c>
      <c r="CK56" t="s">
        <v>230</v>
      </c>
      <c r="CL56" t="s">
        <v>231</v>
      </c>
      <c r="CM56" t="s">
        <v>232</v>
      </c>
      <c r="CN56" t="s">
        <v>233</v>
      </c>
      <c r="CP56" t="s">
        <v>212</v>
      </c>
      <c r="CQ56" t="s">
        <v>212</v>
      </c>
      <c r="CR56" t="s">
        <v>212</v>
      </c>
      <c r="CS56" t="s">
        <v>212</v>
      </c>
      <c r="CY56" t="s">
        <v>212</v>
      </c>
      <c r="DB56" t="s">
        <v>234</v>
      </c>
      <c r="DE56" t="s">
        <v>212</v>
      </c>
      <c r="DF56" t="s">
        <v>212</v>
      </c>
      <c r="DG56" t="s">
        <v>235</v>
      </c>
      <c r="DH56" t="s">
        <v>212</v>
      </c>
      <c r="DJ56" t="s">
        <v>236</v>
      </c>
      <c r="DM56" t="s">
        <v>212</v>
      </c>
    </row>
    <row r="57" spans="1:117" x14ac:dyDescent="0.3">
      <c r="A57">
        <v>357115</v>
      </c>
      <c r="B57">
        <v>322353</v>
      </c>
      <c r="C57" t="str">
        <f>"110717601810"</f>
        <v>110717601810</v>
      </c>
      <c r="D57" t="s">
        <v>458</v>
      </c>
      <c r="E57" t="s">
        <v>459</v>
      </c>
      <c r="F57" t="s">
        <v>460</v>
      </c>
      <c r="G57" s="1">
        <v>40741</v>
      </c>
      <c r="I57" t="s">
        <v>199</v>
      </c>
      <c r="J57" t="s">
        <v>200</v>
      </c>
      <c r="K57" t="s">
        <v>260</v>
      </c>
      <c r="R57" t="str">
        <f>"КАЗАХСТАН, АКМОЛИНСКАЯ, СТЕПНОГОРСК, 44, 59"</f>
        <v>КАЗАХСТАН, АКМОЛИНСКАЯ, СТЕПНОГОРСК, 44, 59</v>
      </c>
      <c r="S57" t="str">
        <f>"ҚАЗАҚСТАН, АҚМОЛА, СТЕПНОГОР, 44, 59"</f>
        <v>ҚАЗАҚСТАН, АҚМОЛА, СТЕПНОГОР, 44, 59</v>
      </c>
      <c r="T57" t="str">
        <f>"44, 59"</f>
        <v>44, 59</v>
      </c>
      <c r="U57" t="str">
        <f>"44, 59"</f>
        <v>44, 59</v>
      </c>
      <c r="AC57" t="str">
        <f>"2018-08-29T00:00:00"</f>
        <v>2018-08-29T00:00:00</v>
      </c>
      <c r="AD57" t="str">
        <f>"140"</f>
        <v>140</v>
      </c>
      <c r="AG57" t="s">
        <v>202</v>
      </c>
      <c r="AI57" t="s">
        <v>203</v>
      </c>
      <c r="AJ57" t="s">
        <v>348</v>
      </c>
      <c r="AK57" t="s">
        <v>205</v>
      </c>
      <c r="AL57" t="s">
        <v>206</v>
      </c>
      <c r="AN57" t="s">
        <v>207</v>
      </c>
      <c r="AO57">
        <v>1</v>
      </c>
      <c r="AP57" t="s">
        <v>208</v>
      </c>
      <c r="AQ57" t="s">
        <v>209</v>
      </c>
      <c r="AR57" t="s">
        <v>307</v>
      </c>
      <c r="AW57" t="s">
        <v>206</v>
      </c>
      <c r="AX57" t="s">
        <v>211</v>
      </c>
      <c r="AZ57" t="s">
        <v>209</v>
      </c>
      <c r="BI57" t="s">
        <v>212</v>
      </c>
      <c r="BJ57" t="s">
        <v>213</v>
      </c>
      <c r="BK57" t="s">
        <v>214</v>
      </c>
      <c r="BL57" t="s">
        <v>215</v>
      </c>
      <c r="BN57" t="s">
        <v>216</v>
      </c>
      <c r="BO57" t="s">
        <v>209</v>
      </c>
      <c r="BP57" t="s">
        <v>241</v>
      </c>
      <c r="BQ57">
        <v>4</v>
      </c>
      <c r="BS57" t="s">
        <v>219</v>
      </c>
      <c r="BT57" t="s">
        <v>220</v>
      </c>
      <c r="BU57" t="s">
        <v>206</v>
      </c>
      <c r="BX57" t="s">
        <v>221</v>
      </c>
      <c r="BY57" t="s">
        <v>221</v>
      </c>
      <c r="CA57" t="s">
        <v>263</v>
      </c>
      <c r="CB57" t="s">
        <v>223</v>
      </c>
      <c r="CC57" t="s">
        <v>222</v>
      </c>
      <c r="CD57" t="s">
        <v>223</v>
      </c>
      <c r="CE57" t="s">
        <v>342</v>
      </c>
      <c r="CF57" t="s">
        <v>226</v>
      </c>
      <c r="CG57" t="s">
        <v>227</v>
      </c>
      <c r="CH57" t="s">
        <v>209</v>
      </c>
      <c r="CI57" t="s">
        <v>461</v>
      </c>
      <c r="CJ57" t="s">
        <v>206</v>
      </c>
      <c r="CK57" t="s">
        <v>230</v>
      </c>
      <c r="CL57" t="s">
        <v>231</v>
      </c>
      <c r="CM57" t="s">
        <v>232</v>
      </c>
      <c r="CN57" t="s">
        <v>233</v>
      </c>
      <c r="CP57" t="s">
        <v>212</v>
      </c>
      <c r="CQ57" t="s">
        <v>212</v>
      </c>
      <c r="CR57" t="s">
        <v>212</v>
      </c>
      <c r="CS57" t="s">
        <v>212</v>
      </c>
      <c r="CY57" t="s">
        <v>212</v>
      </c>
      <c r="DB57" t="s">
        <v>234</v>
      </c>
      <c r="DE57" t="s">
        <v>212</v>
      </c>
      <c r="DF57" t="s">
        <v>212</v>
      </c>
      <c r="DG57" t="s">
        <v>235</v>
      </c>
      <c r="DH57" t="s">
        <v>212</v>
      </c>
      <c r="DJ57" t="s">
        <v>236</v>
      </c>
      <c r="DM57" t="s">
        <v>212</v>
      </c>
    </row>
    <row r="58" spans="1:117" x14ac:dyDescent="0.3">
      <c r="A58">
        <v>357261</v>
      </c>
      <c r="B58">
        <v>322471</v>
      </c>
      <c r="C58" t="str">
        <f>"090926653605"</f>
        <v>090926653605</v>
      </c>
      <c r="D58" t="s">
        <v>462</v>
      </c>
      <c r="E58" t="s">
        <v>463</v>
      </c>
      <c r="F58" t="s">
        <v>464</v>
      </c>
      <c r="G58" s="1">
        <v>40082</v>
      </c>
      <c r="I58" t="s">
        <v>199</v>
      </c>
      <c r="J58" t="s">
        <v>200</v>
      </c>
      <c r="K58" t="s">
        <v>201</v>
      </c>
      <c r="R58" t="str">
        <f>"КАЗАХСТАН, АКМОЛИНСКАЯ, СТЕПНОГОРСК, -, 86, 87"</f>
        <v>КАЗАХСТАН, АКМОЛИНСКАЯ, СТЕПНОГОРСК, -, 86, 87</v>
      </c>
      <c r="S58" t="str">
        <f>"ҚАЗАҚСТАН, АҚМОЛА, СТЕПНОГОР, -, 86, 87"</f>
        <v>ҚАЗАҚСТАН, АҚМОЛА, СТЕПНОГОР, -, 86, 87</v>
      </c>
      <c r="T58" t="str">
        <f>"-, 86, 87"</f>
        <v>-, 86, 87</v>
      </c>
      <c r="U58" t="str">
        <f>"-, 86, 87"</f>
        <v>-, 86, 87</v>
      </c>
      <c r="AC58" t="str">
        <f>"2017-08-29T00:00:00"</f>
        <v>2017-08-29T00:00:00</v>
      </c>
      <c r="AD58" t="str">
        <f>"114"</f>
        <v>114</v>
      </c>
      <c r="AE58" t="str">
        <f>"2023-09-01T17:29:02"</f>
        <v>2023-09-01T17:29:02</v>
      </c>
      <c r="AF58" t="str">
        <f>"2024-05-25T17:29:02"</f>
        <v>2024-05-25T17:29:02</v>
      </c>
      <c r="AG58" t="s">
        <v>202</v>
      </c>
      <c r="AH58" t="str">
        <f>"ckool007@mail.ru"</f>
        <v>ckool007@mail.ru</v>
      </c>
      <c r="AI58" t="s">
        <v>203</v>
      </c>
      <c r="AJ58" t="s">
        <v>286</v>
      </c>
      <c r="AK58" t="s">
        <v>253</v>
      </c>
      <c r="AL58" t="s">
        <v>206</v>
      </c>
      <c r="AN58" t="s">
        <v>254</v>
      </c>
      <c r="AO58">
        <v>1</v>
      </c>
      <c r="AP58" t="s">
        <v>208</v>
      </c>
      <c r="AQ58" t="s">
        <v>209</v>
      </c>
      <c r="AR58" t="s">
        <v>210</v>
      </c>
      <c r="AW58" t="s">
        <v>206</v>
      </c>
      <c r="AX58" t="s">
        <v>211</v>
      </c>
      <c r="AZ58" t="s">
        <v>209</v>
      </c>
      <c r="BI58" t="s">
        <v>212</v>
      </c>
      <c r="BJ58" t="s">
        <v>213</v>
      </c>
      <c r="BK58" t="s">
        <v>214</v>
      </c>
      <c r="BL58" t="s">
        <v>357</v>
      </c>
      <c r="BN58" t="s">
        <v>216</v>
      </c>
      <c r="BO58" t="s">
        <v>209</v>
      </c>
      <c r="BP58" t="s">
        <v>217</v>
      </c>
      <c r="BQ58" t="s">
        <v>465</v>
      </c>
      <c r="BS58" t="s">
        <v>219</v>
      </c>
      <c r="BT58" t="s">
        <v>220</v>
      </c>
      <c r="BU58" t="s">
        <v>206</v>
      </c>
      <c r="BX58" t="s">
        <v>221</v>
      </c>
      <c r="BY58" t="s">
        <v>221</v>
      </c>
      <c r="CA58" t="s">
        <v>263</v>
      </c>
      <c r="CB58" t="s">
        <v>223</v>
      </c>
      <c r="CC58" t="s">
        <v>209</v>
      </c>
      <c r="CE58" t="s">
        <v>242</v>
      </c>
      <c r="CJ58" t="s">
        <v>206</v>
      </c>
      <c r="CK58" t="s">
        <v>230</v>
      </c>
      <c r="CL58" t="s">
        <v>231</v>
      </c>
      <c r="CM58" t="s">
        <v>232</v>
      </c>
      <c r="CN58" t="s">
        <v>233</v>
      </c>
      <c r="CP58" t="s">
        <v>212</v>
      </c>
      <c r="CQ58" t="s">
        <v>212</v>
      </c>
      <c r="CR58" t="s">
        <v>212</v>
      </c>
      <c r="CS58" t="s">
        <v>212</v>
      </c>
      <c r="CY58" t="s">
        <v>212</v>
      </c>
      <c r="DB58" t="s">
        <v>234</v>
      </c>
      <c r="DE58" t="s">
        <v>212</v>
      </c>
      <c r="DF58" t="s">
        <v>212</v>
      </c>
      <c r="DG58" t="s">
        <v>235</v>
      </c>
      <c r="DH58" t="s">
        <v>212</v>
      </c>
      <c r="DJ58" t="s">
        <v>421</v>
      </c>
      <c r="DK58" t="s">
        <v>422</v>
      </c>
      <c r="DL58" t="s">
        <v>423</v>
      </c>
      <c r="DM58" t="s">
        <v>206</v>
      </c>
    </row>
    <row r="59" spans="1:117" x14ac:dyDescent="0.3">
      <c r="A59">
        <v>357290</v>
      </c>
      <c r="B59">
        <v>322495</v>
      </c>
      <c r="C59" t="str">
        <f>"090814651888"</f>
        <v>090814651888</v>
      </c>
      <c r="D59" t="s">
        <v>466</v>
      </c>
      <c r="E59" t="s">
        <v>467</v>
      </c>
      <c r="F59" t="s">
        <v>267</v>
      </c>
      <c r="G59" s="1">
        <v>40039</v>
      </c>
      <c r="I59" t="s">
        <v>199</v>
      </c>
      <c r="J59" t="s">
        <v>200</v>
      </c>
      <c r="K59" t="s">
        <v>260</v>
      </c>
      <c r="R59" t="str">
        <f>"АНДОРРА, АКМОЛИНСКАЯ, СТЕПНОГОРСК, 36, 30"</f>
        <v>АНДОРРА, АКМОЛИНСКАЯ, СТЕПНОГОРСК, 36, 30</v>
      </c>
      <c r="S59" t="str">
        <f>"АНДОРРА, АҚМОЛА, СТЕПНОГОР, 36, 30"</f>
        <v>АНДОРРА, АҚМОЛА, СТЕПНОГОР, 36, 30</v>
      </c>
      <c r="T59" t="str">
        <f>"36, 30"</f>
        <v>36, 30</v>
      </c>
      <c r="U59" t="str">
        <f>"36, 30"</f>
        <v>36, 30</v>
      </c>
      <c r="AC59" t="str">
        <f>"2017-08-29T00:00:00"</f>
        <v>2017-08-29T00:00:00</v>
      </c>
      <c r="AD59" t="str">
        <f>"114"</f>
        <v>114</v>
      </c>
      <c r="AG59" t="s">
        <v>202</v>
      </c>
      <c r="AH59" t="str">
        <f>"ckool007@mail.ru"</f>
        <v>ckool007@mail.ru</v>
      </c>
      <c r="AI59" t="s">
        <v>203</v>
      </c>
      <c r="AJ59" t="s">
        <v>286</v>
      </c>
      <c r="AK59" t="s">
        <v>205</v>
      </c>
      <c r="AL59" t="s">
        <v>206</v>
      </c>
      <c r="AN59" t="s">
        <v>207</v>
      </c>
      <c r="AO59">
        <v>1</v>
      </c>
      <c r="AP59" t="s">
        <v>208</v>
      </c>
      <c r="AQ59" t="s">
        <v>209</v>
      </c>
      <c r="AR59" t="s">
        <v>210</v>
      </c>
      <c r="AW59" t="s">
        <v>206</v>
      </c>
      <c r="AX59" t="s">
        <v>211</v>
      </c>
      <c r="AZ59" t="s">
        <v>209</v>
      </c>
      <c r="BI59" t="s">
        <v>212</v>
      </c>
      <c r="BJ59" t="s">
        <v>213</v>
      </c>
      <c r="BK59" t="s">
        <v>214</v>
      </c>
      <c r="BL59" t="s">
        <v>215</v>
      </c>
      <c r="BN59" t="s">
        <v>216</v>
      </c>
      <c r="BO59" t="s">
        <v>209</v>
      </c>
      <c r="BP59" t="s">
        <v>217</v>
      </c>
      <c r="BQ59" t="s">
        <v>218</v>
      </c>
      <c r="BS59" t="s">
        <v>219</v>
      </c>
      <c r="BT59" t="s">
        <v>220</v>
      </c>
      <c r="BU59" t="s">
        <v>206</v>
      </c>
      <c r="BX59" t="s">
        <v>221</v>
      </c>
      <c r="BY59" t="s">
        <v>221</v>
      </c>
      <c r="CA59" t="s">
        <v>287</v>
      </c>
      <c r="CC59" t="s">
        <v>301</v>
      </c>
      <c r="CD59" t="s">
        <v>223</v>
      </c>
      <c r="CE59" t="s">
        <v>242</v>
      </c>
      <c r="CJ59" t="s">
        <v>206</v>
      </c>
      <c r="CK59" t="s">
        <v>230</v>
      </c>
      <c r="CL59" t="s">
        <v>231</v>
      </c>
      <c r="CM59" t="s">
        <v>232</v>
      </c>
      <c r="CN59" t="s">
        <v>233</v>
      </c>
      <c r="CP59" t="s">
        <v>212</v>
      </c>
      <c r="CQ59" t="s">
        <v>212</v>
      </c>
      <c r="CR59" t="s">
        <v>212</v>
      </c>
      <c r="CS59" t="s">
        <v>212</v>
      </c>
      <c r="CY59" t="s">
        <v>212</v>
      </c>
      <c r="DB59" t="s">
        <v>234</v>
      </c>
      <c r="DE59" t="s">
        <v>212</v>
      </c>
      <c r="DF59" t="s">
        <v>212</v>
      </c>
      <c r="DG59" t="s">
        <v>235</v>
      </c>
      <c r="DH59" t="s">
        <v>212</v>
      </c>
      <c r="DJ59" t="s">
        <v>236</v>
      </c>
      <c r="DM59" t="s">
        <v>212</v>
      </c>
    </row>
    <row r="60" spans="1:117" x14ac:dyDescent="0.3">
      <c r="A60">
        <v>357353</v>
      </c>
      <c r="B60">
        <v>322551</v>
      </c>
      <c r="C60" t="str">
        <f>"080123653945"</f>
        <v>080123653945</v>
      </c>
      <c r="D60" t="s">
        <v>468</v>
      </c>
      <c r="E60" t="s">
        <v>351</v>
      </c>
      <c r="F60" t="s">
        <v>408</v>
      </c>
      <c r="G60" s="1">
        <v>39470</v>
      </c>
      <c r="I60" t="s">
        <v>199</v>
      </c>
      <c r="J60" t="s">
        <v>200</v>
      </c>
      <c r="K60" t="s">
        <v>469</v>
      </c>
      <c r="R60" t="str">
        <f>"АНДОРРА, АКМОЛИНСКАЯ, СТЕПНОГОРСК, 40, 8"</f>
        <v>АНДОРРА, АКМОЛИНСКАЯ, СТЕПНОГОРСК, 40, 8</v>
      </c>
      <c r="S60" t="str">
        <f>"АНДОРРА, АҚМОЛА, СТЕПНОГОР, 40, 8"</f>
        <v>АНДОРРА, АҚМОЛА, СТЕПНОГОР, 40, 8</v>
      </c>
      <c r="T60" t="str">
        <f>"40, 8"</f>
        <v>40, 8</v>
      </c>
      <c r="U60" t="str">
        <f>"40, 8"</f>
        <v>40, 8</v>
      </c>
      <c r="AC60" t="str">
        <f>"2023-09-27T00:00:00"</f>
        <v>2023-09-27T00:00:00</v>
      </c>
      <c r="AD60" t="str">
        <f>"88"</f>
        <v>88</v>
      </c>
      <c r="AG60" t="s">
        <v>202</v>
      </c>
      <c r="AH60" t="str">
        <f>"ckool007@mail.ru"</f>
        <v>ckool007@mail.ru</v>
      </c>
      <c r="AI60" t="s">
        <v>203</v>
      </c>
      <c r="AJ60" t="s">
        <v>204</v>
      </c>
      <c r="AK60" t="s">
        <v>246</v>
      </c>
      <c r="AL60" t="s">
        <v>206</v>
      </c>
      <c r="AN60" t="s">
        <v>207</v>
      </c>
      <c r="AO60">
        <v>1</v>
      </c>
      <c r="AP60" t="s">
        <v>208</v>
      </c>
      <c r="AQ60" t="s">
        <v>209</v>
      </c>
      <c r="AR60" t="s">
        <v>210</v>
      </c>
      <c r="AV60" t="str">
        <f>"2021-01-25T00:06:10"</f>
        <v>2021-01-25T00:06:10</v>
      </c>
      <c r="AW60" t="s">
        <v>206</v>
      </c>
      <c r="AX60" t="s">
        <v>211</v>
      </c>
      <c r="AZ60" t="s">
        <v>209</v>
      </c>
      <c r="BI60" t="s">
        <v>212</v>
      </c>
      <c r="BJ60" t="s">
        <v>213</v>
      </c>
      <c r="BK60" t="s">
        <v>214</v>
      </c>
      <c r="BL60" t="s">
        <v>215</v>
      </c>
      <c r="BN60" t="s">
        <v>247</v>
      </c>
      <c r="BO60" t="s">
        <v>209</v>
      </c>
      <c r="BP60" t="s">
        <v>217</v>
      </c>
      <c r="BQ60" t="s">
        <v>329</v>
      </c>
      <c r="BS60" t="s">
        <v>219</v>
      </c>
      <c r="BT60" t="s">
        <v>220</v>
      </c>
      <c r="BU60" t="s">
        <v>206</v>
      </c>
      <c r="BX60" t="s">
        <v>234</v>
      </c>
      <c r="BY60" t="s">
        <v>234</v>
      </c>
      <c r="CA60" t="s">
        <v>263</v>
      </c>
      <c r="CB60" t="s">
        <v>223</v>
      </c>
      <c r="CC60" t="s">
        <v>209</v>
      </c>
      <c r="CE60" t="s">
        <v>242</v>
      </c>
      <c r="CJ60" t="s">
        <v>206</v>
      </c>
      <c r="CK60" t="s">
        <v>230</v>
      </c>
      <c r="CL60" t="s">
        <v>231</v>
      </c>
      <c r="CM60" t="s">
        <v>232</v>
      </c>
      <c r="CN60" t="s">
        <v>233</v>
      </c>
      <c r="CP60" t="s">
        <v>212</v>
      </c>
      <c r="CQ60" t="s">
        <v>212</v>
      </c>
      <c r="CR60" t="s">
        <v>212</v>
      </c>
      <c r="CS60" t="s">
        <v>212</v>
      </c>
      <c r="CY60" t="s">
        <v>212</v>
      </c>
      <c r="DB60" t="s">
        <v>234</v>
      </c>
      <c r="DE60" t="s">
        <v>212</v>
      </c>
      <c r="DF60" t="s">
        <v>212</v>
      </c>
      <c r="DG60" t="s">
        <v>235</v>
      </c>
      <c r="DH60" t="s">
        <v>212</v>
      </c>
      <c r="DJ60" t="s">
        <v>236</v>
      </c>
      <c r="DM60" t="s">
        <v>212</v>
      </c>
    </row>
    <row r="61" spans="1:117" x14ac:dyDescent="0.3">
      <c r="A61">
        <v>357743</v>
      </c>
      <c r="B61">
        <v>322913</v>
      </c>
      <c r="C61" t="str">
        <f>"120409500863"</f>
        <v>120409500863</v>
      </c>
      <c r="D61" t="s">
        <v>470</v>
      </c>
      <c r="E61" t="s">
        <v>471</v>
      </c>
      <c r="F61" t="s">
        <v>472</v>
      </c>
      <c r="G61" s="1">
        <v>41008</v>
      </c>
      <c r="I61" t="s">
        <v>240</v>
      </c>
      <c r="J61" t="s">
        <v>200</v>
      </c>
      <c r="K61" t="s">
        <v>201</v>
      </c>
      <c r="R61" t="str">
        <f>"КАЗАХСТАН, АКМОЛИНСКАЯ, СТЕПНОГОРСК, 23, 66"</f>
        <v>КАЗАХСТАН, АКМОЛИНСКАЯ, СТЕПНОГОРСК, 23, 66</v>
      </c>
      <c r="S61" t="str">
        <f>"ҚАЗАҚСТАН, АҚМОЛА, СТЕПНОГОР, 23, 66"</f>
        <v>ҚАЗАҚСТАН, АҚМОЛА, СТЕПНОГОР, 23, 66</v>
      </c>
      <c r="T61" t="str">
        <f>"23, 66"</f>
        <v>23, 66</v>
      </c>
      <c r="U61" t="str">
        <f>"23, 66"</f>
        <v>23, 66</v>
      </c>
      <c r="AC61" t="str">
        <f>"2018-08-29T00:00:00"</f>
        <v>2018-08-29T00:00:00</v>
      </c>
      <c r="AD61" t="str">
        <f>"140"</f>
        <v>140</v>
      </c>
      <c r="AE61" t="str">
        <f>"2023-09-01T10:15:19"</f>
        <v>2023-09-01T10:15:19</v>
      </c>
      <c r="AF61" t="str">
        <f>"2024-05-25T10:15:19"</f>
        <v>2024-05-25T10:15:19</v>
      </c>
      <c r="AG61" t="s">
        <v>202</v>
      </c>
      <c r="AI61" t="s">
        <v>269</v>
      </c>
      <c r="AJ61" t="s">
        <v>348</v>
      </c>
      <c r="AK61" t="s">
        <v>205</v>
      </c>
      <c r="AL61" t="s">
        <v>206</v>
      </c>
      <c r="AN61" t="s">
        <v>207</v>
      </c>
      <c r="AO61">
        <v>1</v>
      </c>
      <c r="AP61" t="s">
        <v>208</v>
      </c>
      <c r="AQ61" t="s">
        <v>209</v>
      </c>
      <c r="AR61" t="s">
        <v>210</v>
      </c>
      <c r="AW61" t="s">
        <v>206</v>
      </c>
      <c r="AX61" t="s">
        <v>211</v>
      </c>
      <c r="AZ61" t="s">
        <v>209</v>
      </c>
      <c r="BI61" t="s">
        <v>212</v>
      </c>
      <c r="BJ61" t="s">
        <v>213</v>
      </c>
      <c r="BK61" t="s">
        <v>214</v>
      </c>
      <c r="BL61" t="s">
        <v>215</v>
      </c>
      <c r="BN61" t="s">
        <v>247</v>
      </c>
      <c r="BO61" t="s">
        <v>209</v>
      </c>
      <c r="BP61" t="s">
        <v>241</v>
      </c>
      <c r="BQ61">
        <v>3</v>
      </c>
      <c r="BS61" t="s">
        <v>219</v>
      </c>
      <c r="BT61" t="s">
        <v>220</v>
      </c>
      <c r="BU61" t="s">
        <v>206</v>
      </c>
      <c r="BX61" t="s">
        <v>221</v>
      </c>
      <c r="BY61" t="s">
        <v>221</v>
      </c>
      <c r="CA61" t="s">
        <v>222</v>
      </c>
      <c r="CB61" t="s">
        <v>223</v>
      </c>
      <c r="CC61" t="s">
        <v>222</v>
      </c>
      <c r="CD61" t="s">
        <v>223</v>
      </c>
      <c r="CE61" t="s">
        <v>342</v>
      </c>
      <c r="CF61" t="s">
        <v>226</v>
      </c>
      <c r="CG61" t="s">
        <v>227</v>
      </c>
      <c r="CH61" t="s">
        <v>209</v>
      </c>
      <c r="CI61" t="s">
        <v>473</v>
      </c>
      <c r="CJ61" t="s">
        <v>206</v>
      </c>
      <c r="CK61" t="s">
        <v>474</v>
      </c>
      <c r="CL61" t="s">
        <v>475</v>
      </c>
      <c r="CM61" t="s">
        <v>476</v>
      </c>
      <c r="CN61" t="s">
        <v>233</v>
      </c>
      <c r="CP61" t="s">
        <v>212</v>
      </c>
      <c r="CQ61" t="s">
        <v>212</v>
      </c>
      <c r="CR61" t="s">
        <v>212</v>
      </c>
      <c r="CS61" t="s">
        <v>212</v>
      </c>
      <c r="CY61" t="s">
        <v>206</v>
      </c>
      <c r="CZ61" t="str">
        <f>"2022-03-09T15:01:03"</f>
        <v>2022-03-09T15:01:03</v>
      </c>
      <c r="DB61" t="s">
        <v>234</v>
      </c>
      <c r="DE61" t="s">
        <v>212</v>
      </c>
      <c r="DF61" t="s">
        <v>212</v>
      </c>
      <c r="DG61" t="s">
        <v>235</v>
      </c>
      <c r="DH61" t="s">
        <v>212</v>
      </c>
      <c r="DJ61" t="s">
        <v>236</v>
      </c>
      <c r="DM61" t="s">
        <v>212</v>
      </c>
    </row>
    <row r="62" spans="1:117" x14ac:dyDescent="0.3">
      <c r="A62">
        <v>357791</v>
      </c>
      <c r="B62">
        <v>322964</v>
      </c>
      <c r="C62" t="str">
        <f>"121123504894"</f>
        <v>121123504894</v>
      </c>
      <c r="D62" t="s">
        <v>477</v>
      </c>
      <c r="E62" t="s">
        <v>478</v>
      </c>
      <c r="F62" t="s">
        <v>479</v>
      </c>
      <c r="G62" s="1">
        <v>41236</v>
      </c>
      <c r="I62" t="s">
        <v>240</v>
      </c>
      <c r="J62" t="s">
        <v>200</v>
      </c>
      <c r="K62" t="s">
        <v>201</v>
      </c>
      <c r="R62" t="str">
        <f>"КАЗАХСТАН, АКМОЛИНСКАЯ, СТЕПНОГОРСК, 19, 19"</f>
        <v>КАЗАХСТАН, АКМОЛИНСКАЯ, СТЕПНОГОРСК, 19, 19</v>
      </c>
      <c r="S62" t="str">
        <f>"ҚАЗАҚСТАН, АҚМОЛА, СТЕПНОГОР, 19, 19"</f>
        <v>ҚАЗАҚСТАН, АҚМОЛА, СТЕПНОГОР, 19, 19</v>
      </c>
      <c r="T62" t="str">
        <f>"19, 19"</f>
        <v>19, 19</v>
      </c>
      <c r="U62" t="str">
        <f>"19, 19"</f>
        <v>19, 19</v>
      </c>
      <c r="AC62" t="str">
        <f>"2018-09-03T00:00:00"</f>
        <v>2018-09-03T00:00:00</v>
      </c>
      <c r="AD62" t="str">
        <f>"4"</f>
        <v>4</v>
      </c>
      <c r="AG62" t="s">
        <v>202</v>
      </c>
      <c r="AI62" t="s">
        <v>299</v>
      </c>
      <c r="AJ62" t="s">
        <v>348</v>
      </c>
      <c r="AK62" t="s">
        <v>253</v>
      </c>
      <c r="AL62" t="s">
        <v>206</v>
      </c>
      <c r="AN62" t="s">
        <v>254</v>
      </c>
      <c r="AO62">
        <v>1</v>
      </c>
      <c r="AP62" t="s">
        <v>208</v>
      </c>
      <c r="AQ62" t="s">
        <v>209</v>
      </c>
      <c r="AR62" t="s">
        <v>307</v>
      </c>
      <c r="AW62" t="s">
        <v>206</v>
      </c>
      <c r="AX62" t="s">
        <v>211</v>
      </c>
      <c r="AZ62" t="s">
        <v>209</v>
      </c>
      <c r="BI62" t="s">
        <v>212</v>
      </c>
      <c r="BJ62" t="s">
        <v>213</v>
      </c>
      <c r="BK62" t="s">
        <v>214</v>
      </c>
      <c r="BL62" t="s">
        <v>215</v>
      </c>
      <c r="BN62" t="s">
        <v>216</v>
      </c>
      <c r="BO62" t="s">
        <v>209</v>
      </c>
      <c r="BP62" t="s">
        <v>241</v>
      </c>
      <c r="BQ62">
        <v>5</v>
      </c>
      <c r="BS62" t="s">
        <v>219</v>
      </c>
      <c r="BT62" t="s">
        <v>220</v>
      </c>
      <c r="BU62" t="s">
        <v>206</v>
      </c>
      <c r="BX62" t="s">
        <v>221</v>
      </c>
      <c r="BY62" t="s">
        <v>221</v>
      </c>
      <c r="CA62" t="s">
        <v>256</v>
      </c>
      <c r="CB62" t="s">
        <v>223</v>
      </c>
      <c r="CC62" t="s">
        <v>256</v>
      </c>
      <c r="CD62" t="s">
        <v>223</v>
      </c>
      <c r="CE62" t="s">
        <v>225</v>
      </c>
      <c r="CF62" t="s">
        <v>226</v>
      </c>
      <c r="CG62" t="s">
        <v>227</v>
      </c>
      <c r="CH62" t="s">
        <v>228</v>
      </c>
      <c r="CI62" t="s">
        <v>457</v>
      </c>
      <c r="CJ62" t="s">
        <v>206</v>
      </c>
      <c r="CK62" t="s">
        <v>230</v>
      </c>
      <c r="CL62" t="s">
        <v>231</v>
      </c>
      <c r="CM62" t="s">
        <v>232</v>
      </c>
      <c r="CN62" t="s">
        <v>233</v>
      </c>
      <c r="CP62" t="s">
        <v>212</v>
      </c>
      <c r="CQ62" t="s">
        <v>212</v>
      </c>
      <c r="CR62" t="s">
        <v>212</v>
      </c>
      <c r="CS62" t="s">
        <v>212</v>
      </c>
      <c r="CY62" t="s">
        <v>212</v>
      </c>
      <c r="DB62" t="s">
        <v>234</v>
      </c>
      <c r="DE62" t="s">
        <v>212</v>
      </c>
      <c r="DF62" t="s">
        <v>212</v>
      </c>
      <c r="DG62" t="s">
        <v>235</v>
      </c>
      <c r="DH62" t="s">
        <v>212</v>
      </c>
      <c r="DJ62" t="s">
        <v>236</v>
      </c>
      <c r="DM62" t="s">
        <v>212</v>
      </c>
    </row>
    <row r="63" spans="1:117" x14ac:dyDescent="0.3">
      <c r="A63">
        <v>358046</v>
      </c>
      <c r="B63">
        <v>323177</v>
      </c>
      <c r="C63" t="str">
        <f>"090311550076"</f>
        <v>090311550076</v>
      </c>
      <c r="D63" t="s">
        <v>480</v>
      </c>
      <c r="E63" t="s">
        <v>363</v>
      </c>
      <c r="F63" t="s">
        <v>481</v>
      </c>
      <c r="G63" s="1">
        <v>39883</v>
      </c>
      <c r="I63" t="s">
        <v>240</v>
      </c>
      <c r="J63" t="s">
        <v>200</v>
      </c>
      <c r="K63" t="s">
        <v>201</v>
      </c>
      <c r="R63" t="str">
        <f>"АНДОРРА, АКМОЛИНСКАЯ, СТЕПНОГОРСК, 40, 14"</f>
        <v>АНДОРРА, АКМОЛИНСКАЯ, СТЕПНОГОРСК, 40, 14</v>
      </c>
      <c r="S63" t="str">
        <f>"АНДОРРА, АҚМОЛА, СТЕПНОГОР, 40, 14"</f>
        <v>АНДОРРА, АҚМОЛА, СТЕПНОГОР, 40, 14</v>
      </c>
      <c r="T63" t="str">
        <f>"40, 14"</f>
        <v>40, 14</v>
      </c>
      <c r="U63" t="str">
        <f>"40, 14"</f>
        <v>40, 14</v>
      </c>
      <c r="AC63" t="str">
        <f>"2017-08-29T00:00:00"</f>
        <v>2017-08-29T00:00:00</v>
      </c>
      <c r="AD63" t="str">
        <f>"112"</f>
        <v>112</v>
      </c>
      <c r="AG63" t="s">
        <v>202</v>
      </c>
      <c r="AH63" t="str">
        <f>"ckool007@mail.ru"</f>
        <v>ckool007@mail.ru</v>
      </c>
      <c r="AI63" t="s">
        <v>299</v>
      </c>
      <c r="AJ63" t="s">
        <v>286</v>
      </c>
      <c r="AK63" t="s">
        <v>205</v>
      </c>
      <c r="AL63" t="s">
        <v>206</v>
      </c>
      <c r="AN63" t="s">
        <v>207</v>
      </c>
      <c r="AO63">
        <v>1</v>
      </c>
      <c r="AP63" t="s">
        <v>208</v>
      </c>
      <c r="AQ63" t="s">
        <v>209</v>
      </c>
      <c r="AR63" t="s">
        <v>210</v>
      </c>
      <c r="AW63" t="s">
        <v>206</v>
      </c>
      <c r="AX63" t="s">
        <v>211</v>
      </c>
      <c r="AZ63" t="s">
        <v>209</v>
      </c>
      <c r="BI63" t="s">
        <v>212</v>
      </c>
      <c r="BJ63" t="s">
        <v>213</v>
      </c>
      <c r="BK63" t="s">
        <v>214</v>
      </c>
      <c r="BL63" t="s">
        <v>215</v>
      </c>
      <c r="BN63" t="s">
        <v>216</v>
      </c>
      <c r="BO63" t="s">
        <v>209</v>
      </c>
      <c r="BP63" t="s">
        <v>217</v>
      </c>
      <c r="BQ63" t="s">
        <v>218</v>
      </c>
      <c r="BS63" t="s">
        <v>219</v>
      </c>
      <c r="BT63" t="s">
        <v>220</v>
      </c>
      <c r="BU63" t="s">
        <v>206</v>
      </c>
      <c r="BX63" t="s">
        <v>221</v>
      </c>
      <c r="BY63" t="s">
        <v>221</v>
      </c>
      <c r="CA63" t="s">
        <v>263</v>
      </c>
      <c r="CB63" t="s">
        <v>223</v>
      </c>
      <c r="CC63" t="s">
        <v>209</v>
      </c>
      <c r="CE63" t="s">
        <v>242</v>
      </c>
      <c r="CJ63" t="s">
        <v>206</v>
      </c>
      <c r="CK63" t="s">
        <v>230</v>
      </c>
      <c r="CL63" t="s">
        <v>231</v>
      </c>
      <c r="CM63" t="s">
        <v>232</v>
      </c>
      <c r="CN63" t="s">
        <v>233</v>
      </c>
      <c r="CP63" t="s">
        <v>212</v>
      </c>
      <c r="CQ63" t="s">
        <v>212</v>
      </c>
      <c r="CR63" t="s">
        <v>212</v>
      </c>
      <c r="CS63" t="s">
        <v>212</v>
      </c>
      <c r="CY63" t="s">
        <v>212</v>
      </c>
      <c r="DB63" t="s">
        <v>234</v>
      </c>
      <c r="DE63" t="s">
        <v>212</v>
      </c>
      <c r="DF63" t="s">
        <v>212</v>
      </c>
      <c r="DG63" t="s">
        <v>235</v>
      </c>
      <c r="DH63" t="s">
        <v>212</v>
      </c>
      <c r="DJ63" t="s">
        <v>236</v>
      </c>
      <c r="DM63" t="s">
        <v>212</v>
      </c>
    </row>
    <row r="64" spans="1:117" x14ac:dyDescent="0.3">
      <c r="A64">
        <v>358728</v>
      </c>
      <c r="B64">
        <v>323739</v>
      </c>
      <c r="C64" t="str">
        <f>"121122504214"</f>
        <v>121122504214</v>
      </c>
      <c r="D64" t="s">
        <v>482</v>
      </c>
      <c r="E64" t="s">
        <v>483</v>
      </c>
      <c r="F64" t="s">
        <v>484</v>
      </c>
      <c r="G64" s="1">
        <v>41235</v>
      </c>
      <c r="I64" t="s">
        <v>240</v>
      </c>
      <c r="J64" t="s">
        <v>200</v>
      </c>
      <c r="K64" t="s">
        <v>201</v>
      </c>
      <c r="Q64" t="s">
        <v>212</v>
      </c>
      <c r="R64" t="str">
        <f>"КАЗАХСТАН, АКМОЛИНСКАЯ, СТЕПНОГОРСК, 35, 20"</f>
        <v>КАЗАХСТАН, АКМОЛИНСКАЯ, СТЕПНОГОРСК, 35, 20</v>
      </c>
      <c r="S64" t="str">
        <f>"ҚАЗАҚСТАН, АҚМОЛА, СТЕПНОГОР, 35, 20"</f>
        <v>ҚАЗАҚСТАН, АҚМОЛА, СТЕПНОГОР, 35, 20</v>
      </c>
      <c r="T64" t="str">
        <f>"35, 20"</f>
        <v>35, 20</v>
      </c>
      <c r="U64" t="str">
        <f>"35, 20"</f>
        <v>35, 20</v>
      </c>
      <c r="AC64" t="str">
        <f>"2019-07-30T00:00:00"</f>
        <v>2019-07-30T00:00:00</v>
      </c>
      <c r="AD64" t="str">
        <f>"118"</f>
        <v>118</v>
      </c>
      <c r="AE64" t="str">
        <f>"2023-09-01T23:53:54"</f>
        <v>2023-09-01T23:53:54</v>
      </c>
      <c r="AF64" t="str">
        <f>"2024-05-25T23:53:54"</f>
        <v>2024-05-25T23:53:54</v>
      </c>
      <c r="AG64" t="s">
        <v>202</v>
      </c>
      <c r="AI64" t="s">
        <v>299</v>
      </c>
      <c r="AJ64" t="s">
        <v>419</v>
      </c>
      <c r="AK64" t="s">
        <v>434</v>
      </c>
      <c r="AL64" t="s">
        <v>206</v>
      </c>
      <c r="AN64" t="s">
        <v>254</v>
      </c>
      <c r="AO64">
        <v>1</v>
      </c>
      <c r="AP64" t="s">
        <v>208</v>
      </c>
      <c r="AQ64" t="s">
        <v>209</v>
      </c>
      <c r="AR64" t="s">
        <v>210</v>
      </c>
      <c r="AV64" t="str">
        <f>"2021-02-01T00:36:14"</f>
        <v>2021-02-01T00:36:14</v>
      </c>
      <c r="AW64" t="s">
        <v>206</v>
      </c>
      <c r="AX64" t="s">
        <v>211</v>
      </c>
      <c r="AZ64" t="s">
        <v>209</v>
      </c>
      <c r="BI64" t="s">
        <v>212</v>
      </c>
      <c r="BJ64" t="s">
        <v>213</v>
      </c>
      <c r="BK64" t="s">
        <v>214</v>
      </c>
      <c r="BL64" t="s">
        <v>215</v>
      </c>
      <c r="BN64" t="s">
        <v>216</v>
      </c>
      <c r="BO64" t="s">
        <v>209</v>
      </c>
      <c r="BP64" t="s">
        <v>241</v>
      </c>
      <c r="BQ64">
        <v>4</v>
      </c>
      <c r="BS64" t="s">
        <v>219</v>
      </c>
      <c r="BT64" t="s">
        <v>220</v>
      </c>
      <c r="BU64" t="s">
        <v>206</v>
      </c>
      <c r="BX64" t="s">
        <v>221</v>
      </c>
      <c r="BY64" t="s">
        <v>221</v>
      </c>
      <c r="CA64" t="s">
        <v>287</v>
      </c>
      <c r="CC64" t="s">
        <v>301</v>
      </c>
      <c r="CD64" t="s">
        <v>223</v>
      </c>
      <c r="CE64" t="s">
        <v>242</v>
      </c>
      <c r="CJ64" t="s">
        <v>206</v>
      </c>
      <c r="CK64" t="s">
        <v>230</v>
      </c>
      <c r="CL64" t="s">
        <v>231</v>
      </c>
      <c r="CM64" t="s">
        <v>232</v>
      </c>
      <c r="CN64" t="s">
        <v>233</v>
      </c>
      <c r="CP64" t="s">
        <v>212</v>
      </c>
      <c r="CQ64" t="s">
        <v>212</v>
      </c>
      <c r="CR64" t="s">
        <v>212</v>
      </c>
      <c r="CS64" t="s">
        <v>212</v>
      </c>
      <c r="CY64" t="s">
        <v>212</v>
      </c>
      <c r="DB64" t="s">
        <v>234</v>
      </c>
      <c r="DE64" t="s">
        <v>212</v>
      </c>
      <c r="DF64" t="s">
        <v>212</v>
      </c>
      <c r="DG64" t="s">
        <v>235</v>
      </c>
      <c r="DH64" t="s">
        <v>212</v>
      </c>
      <c r="DJ64" t="s">
        <v>236</v>
      </c>
      <c r="DM64" t="s">
        <v>212</v>
      </c>
    </row>
    <row r="65" spans="1:117" x14ac:dyDescent="0.3">
      <c r="A65">
        <v>359209</v>
      </c>
      <c r="B65">
        <v>324187</v>
      </c>
      <c r="C65" t="str">
        <f>"110203000106"</f>
        <v>110203000106</v>
      </c>
      <c r="D65" t="s">
        <v>485</v>
      </c>
      <c r="E65" t="s">
        <v>486</v>
      </c>
      <c r="F65" t="s">
        <v>487</v>
      </c>
      <c r="G65" s="1">
        <v>40577</v>
      </c>
      <c r="I65" t="s">
        <v>199</v>
      </c>
      <c r="J65" t="s">
        <v>200</v>
      </c>
      <c r="K65" t="s">
        <v>201</v>
      </c>
      <c r="R65" t="str">
        <f>"АНДОРРА, АКМОЛИНСКАЯ, СТЕПНОГОРСК, 14, 213"</f>
        <v>АНДОРРА, АКМОЛИНСКАЯ, СТЕПНОГОРСК, 14, 213</v>
      </c>
      <c r="S65" t="str">
        <f>"АНДОРРА, АҚМОЛА, СТЕПНОГОР, 14, 213"</f>
        <v>АНДОРРА, АҚМОЛА, СТЕПНОГОР, 14, 213</v>
      </c>
      <c r="T65" t="str">
        <f>"14, 213"</f>
        <v>14, 213</v>
      </c>
      <c r="U65" t="str">
        <f>"14, 213"</f>
        <v>14, 213</v>
      </c>
      <c r="AC65" t="str">
        <f>"2018-08-29T00:00:00"</f>
        <v>2018-08-29T00:00:00</v>
      </c>
      <c r="AD65" t="str">
        <f>"141"</f>
        <v>141</v>
      </c>
      <c r="AG65" t="s">
        <v>202</v>
      </c>
      <c r="AI65" t="s">
        <v>299</v>
      </c>
      <c r="AJ65" t="s">
        <v>300</v>
      </c>
      <c r="AK65" t="s">
        <v>253</v>
      </c>
      <c r="AL65" t="s">
        <v>206</v>
      </c>
      <c r="AN65" t="s">
        <v>254</v>
      </c>
      <c r="AO65">
        <v>1</v>
      </c>
      <c r="AP65" t="s">
        <v>208</v>
      </c>
      <c r="AQ65" t="s">
        <v>209</v>
      </c>
      <c r="AR65" t="s">
        <v>210</v>
      </c>
      <c r="AW65" t="s">
        <v>206</v>
      </c>
      <c r="AX65" t="s">
        <v>211</v>
      </c>
      <c r="AZ65" t="s">
        <v>209</v>
      </c>
      <c r="BI65" t="s">
        <v>212</v>
      </c>
      <c r="BJ65" t="s">
        <v>213</v>
      </c>
      <c r="BK65" t="s">
        <v>214</v>
      </c>
      <c r="BL65" t="s">
        <v>215</v>
      </c>
      <c r="BN65" t="s">
        <v>216</v>
      </c>
      <c r="BO65" t="s">
        <v>209</v>
      </c>
      <c r="BP65" t="s">
        <v>241</v>
      </c>
      <c r="BQ65">
        <v>4</v>
      </c>
      <c r="BS65" t="s">
        <v>219</v>
      </c>
      <c r="BT65" t="s">
        <v>220</v>
      </c>
      <c r="BU65" t="s">
        <v>206</v>
      </c>
      <c r="BX65" t="s">
        <v>221</v>
      </c>
      <c r="BY65" t="s">
        <v>221</v>
      </c>
      <c r="CA65" t="s">
        <v>222</v>
      </c>
      <c r="CB65" t="s">
        <v>223</v>
      </c>
      <c r="CC65" t="s">
        <v>301</v>
      </c>
      <c r="CD65" t="s">
        <v>223</v>
      </c>
      <c r="CE65" t="s">
        <v>242</v>
      </c>
      <c r="CJ65" t="s">
        <v>206</v>
      </c>
      <c r="CK65" t="s">
        <v>230</v>
      </c>
      <c r="CL65" t="s">
        <v>231</v>
      </c>
      <c r="CM65" t="s">
        <v>232</v>
      </c>
      <c r="CN65" t="s">
        <v>233</v>
      </c>
      <c r="CP65" t="s">
        <v>212</v>
      </c>
      <c r="CQ65" t="s">
        <v>212</v>
      </c>
      <c r="CR65" t="s">
        <v>212</v>
      </c>
      <c r="CS65" t="s">
        <v>212</v>
      </c>
      <c r="CY65" t="s">
        <v>212</v>
      </c>
      <c r="DB65" t="s">
        <v>234</v>
      </c>
      <c r="DE65" t="s">
        <v>212</v>
      </c>
      <c r="DF65" t="s">
        <v>212</v>
      </c>
      <c r="DG65" t="s">
        <v>235</v>
      </c>
      <c r="DH65" t="s">
        <v>212</v>
      </c>
      <c r="DJ65" t="s">
        <v>236</v>
      </c>
      <c r="DM65" t="s">
        <v>212</v>
      </c>
    </row>
    <row r="66" spans="1:117" x14ac:dyDescent="0.3">
      <c r="A66">
        <v>10178791</v>
      </c>
      <c r="B66">
        <v>7307457</v>
      </c>
      <c r="C66" t="str">
        <f>"120420505834"</f>
        <v>120420505834</v>
      </c>
      <c r="D66" t="s">
        <v>488</v>
      </c>
      <c r="E66" t="s">
        <v>489</v>
      </c>
      <c r="F66" t="s">
        <v>490</v>
      </c>
      <c r="G66" s="1">
        <v>41019</v>
      </c>
      <c r="I66" t="s">
        <v>240</v>
      </c>
      <c r="J66" t="s">
        <v>200</v>
      </c>
      <c r="K66" t="s">
        <v>201</v>
      </c>
      <c r="Q66" t="s">
        <v>212</v>
      </c>
      <c r="R66" t="str">
        <f>"КАЗАХСТАН, АКМОЛИНСКАЯ, СТЕПНОГОРСК, 13, 58"</f>
        <v>КАЗАХСТАН, АКМОЛИНСКАЯ, СТЕПНОГОРСК, 13, 58</v>
      </c>
      <c r="S66" t="str">
        <f>"ҚАЗАҚСТАН, АҚМОЛА, СТЕПНОГОР, 13, 58"</f>
        <v>ҚАЗАҚСТАН, АҚМОЛА, СТЕПНОГОР, 13, 58</v>
      </c>
      <c r="T66" t="str">
        <f>"13, 58"</f>
        <v>13, 58</v>
      </c>
      <c r="U66" t="str">
        <f>"13, 58"</f>
        <v>13, 58</v>
      </c>
      <c r="AC66" t="str">
        <f>"2019-07-30T00:00:00"</f>
        <v>2019-07-30T00:00:00</v>
      </c>
      <c r="AD66" t="str">
        <f>"118"</f>
        <v>118</v>
      </c>
      <c r="AG66" t="s">
        <v>202</v>
      </c>
      <c r="AI66" t="s">
        <v>274</v>
      </c>
      <c r="AJ66" t="s">
        <v>419</v>
      </c>
      <c r="AK66" t="s">
        <v>246</v>
      </c>
      <c r="AL66" t="s">
        <v>206</v>
      </c>
      <c r="AN66" t="s">
        <v>207</v>
      </c>
      <c r="AO66">
        <v>1</v>
      </c>
      <c r="AP66" t="s">
        <v>208</v>
      </c>
      <c r="AQ66" t="s">
        <v>209</v>
      </c>
      <c r="AR66" t="s">
        <v>210</v>
      </c>
      <c r="AW66" t="s">
        <v>206</v>
      </c>
      <c r="AX66" t="s">
        <v>211</v>
      </c>
      <c r="AZ66" t="s">
        <v>209</v>
      </c>
      <c r="BI66" t="s">
        <v>212</v>
      </c>
      <c r="BJ66" t="s">
        <v>213</v>
      </c>
      <c r="BK66" t="s">
        <v>214</v>
      </c>
      <c r="BL66" t="s">
        <v>215</v>
      </c>
      <c r="BN66" t="s">
        <v>216</v>
      </c>
      <c r="BO66" t="s">
        <v>209</v>
      </c>
      <c r="BP66" t="s">
        <v>241</v>
      </c>
      <c r="BQ66">
        <v>4</v>
      </c>
      <c r="BS66" t="s">
        <v>219</v>
      </c>
      <c r="BT66" t="s">
        <v>220</v>
      </c>
      <c r="BU66" t="s">
        <v>206</v>
      </c>
      <c r="BX66" t="s">
        <v>221</v>
      </c>
      <c r="BY66" t="s">
        <v>221</v>
      </c>
      <c r="CA66" t="s">
        <v>256</v>
      </c>
      <c r="CB66" t="s">
        <v>223</v>
      </c>
      <c r="CC66" t="s">
        <v>222</v>
      </c>
      <c r="CD66" t="s">
        <v>223</v>
      </c>
      <c r="CE66" t="s">
        <v>242</v>
      </c>
      <c r="CJ66" t="s">
        <v>206</v>
      </c>
      <c r="CK66" t="s">
        <v>230</v>
      </c>
      <c r="CL66" t="s">
        <v>231</v>
      </c>
      <c r="CM66" t="s">
        <v>232</v>
      </c>
      <c r="CN66" t="s">
        <v>233</v>
      </c>
      <c r="CP66" t="s">
        <v>212</v>
      </c>
      <c r="CQ66" t="s">
        <v>212</v>
      </c>
      <c r="CR66" t="s">
        <v>212</v>
      </c>
      <c r="CS66" t="s">
        <v>212</v>
      </c>
      <c r="CY66" t="s">
        <v>212</v>
      </c>
      <c r="DB66" t="s">
        <v>234</v>
      </c>
      <c r="DE66" t="s">
        <v>212</v>
      </c>
      <c r="DF66" t="s">
        <v>212</v>
      </c>
      <c r="DG66" t="s">
        <v>235</v>
      </c>
      <c r="DH66" t="s">
        <v>212</v>
      </c>
      <c r="DJ66" t="s">
        <v>236</v>
      </c>
      <c r="DM66" t="s">
        <v>212</v>
      </c>
    </row>
    <row r="67" spans="1:117" x14ac:dyDescent="0.3">
      <c r="A67">
        <v>13139522</v>
      </c>
      <c r="B67">
        <v>242723</v>
      </c>
      <c r="C67" t="str">
        <f>"130403603358"</f>
        <v>130403603358</v>
      </c>
      <c r="D67" t="s">
        <v>491</v>
      </c>
      <c r="E67" t="s">
        <v>492</v>
      </c>
      <c r="G67" s="1">
        <v>41367</v>
      </c>
      <c r="I67" t="s">
        <v>199</v>
      </c>
      <c r="J67" t="s">
        <v>200</v>
      </c>
      <c r="K67" t="s">
        <v>201</v>
      </c>
      <c r="Q67" t="s">
        <v>212</v>
      </c>
      <c r="R67" t="str">
        <f>"КАЗАХСТАН, АКМОЛИНСКАЯ, СТЕПНОГОРСК, 86, 10"</f>
        <v>КАЗАХСТАН, АКМОЛИНСКАЯ, СТЕПНОГОРСК, 86, 10</v>
      </c>
      <c r="S67" t="str">
        <f>"ҚАЗАҚСТАН, АҚМОЛА, СТЕПНОГОР, 86, 10"</f>
        <v>ҚАЗАҚСТАН, АҚМОЛА, СТЕПНОГОР, 86, 10</v>
      </c>
      <c r="T67" t="str">
        <f>"86, 10"</f>
        <v>86, 10</v>
      </c>
      <c r="U67" t="str">
        <f>"86, 10"</f>
        <v>86, 10</v>
      </c>
      <c r="AC67" t="str">
        <f>"2019-08-29T00:00:00"</f>
        <v>2019-08-29T00:00:00</v>
      </c>
      <c r="AD67" t="str">
        <f>"1"</f>
        <v>1</v>
      </c>
      <c r="AE67" t="str">
        <f>"2023-09-01T00:04:33"</f>
        <v>2023-09-01T00:04:33</v>
      </c>
      <c r="AF67" t="str">
        <f>"2024-05-25T00:04:33"</f>
        <v>2024-05-25T00:04:33</v>
      </c>
      <c r="AG67" t="s">
        <v>202</v>
      </c>
      <c r="AI67" t="s">
        <v>274</v>
      </c>
      <c r="AJ67" t="s">
        <v>419</v>
      </c>
      <c r="AK67" t="s">
        <v>246</v>
      </c>
      <c r="AL67" t="s">
        <v>206</v>
      </c>
      <c r="AN67" t="s">
        <v>207</v>
      </c>
      <c r="AO67">
        <v>1</v>
      </c>
      <c r="AP67" t="s">
        <v>208</v>
      </c>
      <c r="AQ67" t="s">
        <v>209</v>
      </c>
      <c r="AR67" t="s">
        <v>210</v>
      </c>
      <c r="AW67" t="s">
        <v>206</v>
      </c>
      <c r="AX67" t="s">
        <v>211</v>
      </c>
      <c r="AZ67" t="s">
        <v>209</v>
      </c>
      <c r="BI67" t="s">
        <v>212</v>
      </c>
      <c r="BJ67" t="s">
        <v>213</v>
      </c>
      <c r="BK67" t="s">
        <v>214</v>
      </c>
      <c r="BL67" t="s">
        <v>215</v>
      </c>
      <c r="BN67" t="s">
        <v>281</v>
      </c>
      <c r="BO67" t="s">
        <v>209</v>
      </c>
      <c r="BP67" t="s">
        <v>415</v>
      </c>
      <c r="BQ67" t="s">
        <v>493</v>
      </c>
      <c r="BS67" t="s">
        <v>219</v>
      </c>
      <c r="BT67" t="s">
        <v>220</v>
      </c>
      <c r="BU67" t="s">
        <v>206</v>
      </c>
      <c r="BX67" t="s">
        <v>221</v>
      </c>
      <c r="BY67" t="s">
        <v>221</v>
      </c>
      <c r="CA67" t="s">
        <v>287</v>
      </c>
      <c r="CC67" t="s">
        <v>353</v>
      </c>
      <c r="CD67" t="s">
        <v>223</v>
      </c>
      <c r="CE67" t="s">
        <v>242</v>
      </c>
      <c r="CJ67" t="s">
        <v>206</v>
      </c>
      <c r="CK67" t="s">
        <v>230</v>
      </c>
      <c r="CL67" t="s">
        <v>231</v>
      </c>
      <c r="CM67" t="s">
        <v>232</v>
      </c>
      <c r="CN67" t="s">
        <v>233</v>
      </c>
      <c r="CP67" t="s">
        <v>212</v>
      </c>
      <c r="CQ67" t="s">
        <v>212</v>
      </c>
      <c r="CR67" t="s">
        <v>212</v>
      </c>
      <c r="CS67" t="s">
        <v>212</v>
      </c>
      <c r="CY67" t="s">
        <v>212</v>
      </c>
      <c r="DB67" t="s">
        <v>234</v>
      </c>
      <c r="DE67" t="s">
        <v>212</v>
      </c>
      <c r="DF67" t="s">
        <v>212</v>
      </c>
      <c r="DG67" t="s">
        <v>235</v>
      </c>
      <c r="DH67" t="s">
        <v>212</v>
      </c>
      <c r="DJ67" t="s">
        <v>236</v>
      </c>
      <c r="DM67" t="s">
        <v>206</v>
      </c>
    </row>
    <row r="68" spans="1:117" x14ac:dyDescent="0.3">
      <c r="A68">
        <v>13147800</v>
      </c>
      <c r="B68">
        <v>8910154</v>
      </c>
      <c r="C68" t="str">
        <f>"130506000167"</f>
        <v>130506000167</v>
      </c>
      <c r="D68" t="s">
        <v>494</v>
      </c>
      <c r="E68" t="s">
        <v>495</v>
      </c>
      <c r="F68" t="s">
        <v>496</v>
      </c>
      <c r="G68" s="1">
        <v>41400</v>
      </c>
      <c r="I68" t="s">
        <v>240</v>
      </c>
      <c r="J68" t="s">
        <v>200</v>
      </c>
      <c r="K68" t="s">
        <v>201</v>
      </c>
      <c r="L68" t="s">
        <v>212</v>
      </c>
      <c r="Q68" t="s">
        <v>212</v>
      </c>
      <c r="R68" t="str">
        <f>"КАЗАХСТАН, АКМОЛИНСКАЯ, СТЕПНОГОРСК, 86, 92"</f>
        <v>КАЗАХСТАН, АКМОЛИНСКАЯ, СТЕПНОГОРСК, 86, 92</v>
      </c>
      <c r="S68" t="str">
        <f>"ҚАЗАҚСТАН, АҚМОЛА, СТЕПНОГОР, 86, 92"</f>
        <v>ҚАЗАҚСТАН, АҚМОЛА, СТЕПНОГОР, 86, 92</v>
      </c>
      <c r="T68" t="str">
        <f>"86, 92"</f>
        <v>86, 92</v>
      </c>
      <c r="U68" t="str">
        <f>"86, 92"</f>
        <v>86, 92</v>
      </c>
      <c r="AC68" t="str">
        <f>"2019-07-10T00:00:00"</f>
        <v>2019-07-10T00:00:00</v>
      </c>
      <c r="AD68" t="str">
        <f>"109"</f>
        <v>109</v>
      </c>
      <c r="AE68" t="str">
        <f>"2023-09-01T17:56:53"</f>
        <v>2023-09-01T17:56:53</v>
      </c>
      <c r="AF68" t="str">
        <f>"2024-05-25T17:56:53"</f>
        <v>2024-05-25T17:56:53</v>
      </c>
      <c r="AG68" t="s">
        <v>202</v>
      </c>
      <c r="AI68" t="s">
        <v>274</v>
      </c>
      <c r="AJ68" t="s">
        <v>419</v>
      </c>
      <c r="AK68" t="s">
        <v>253</v>
      </c>
      <c r="AL68" t="s">
        <v>206</v>
      </c>
      <c r="AN68" t="s">
        <v>254</v>
      </c>
      <c r="AO68">
        <v>1</v>
      </c>
      <c r="AP68" t="s">
        <v>208</v>
      </c>
      <c r="AQ68" t="s">
        <v>209</v>
      </c>
      <c r="AR68" t="s">
        <v>210</v>
      </c>
      <c r="AW68" t="s">
        <v>206</v>
      </c>
      <c r="AX68" t="s">
        <v>211</v>
      </c>
      <c r="AZ68" t="s">
        <v>209</v>
      </c>
      <c r="BI68" t="s">
        <v>212</v>
      </c>
      <c r="BJ68" t="s">
        <v>213</v>
      </c>
      <c r="BK68" t="s">
        <v>497</v>
      </c>
      <c r="BL68" t="s">
        <v>215</v>
      </c>
      <c r="BN68" t="s">
        <v>216</v>
      </c>
      <c r="BO68" t="s">
        <v>209</v>
      </c>
      <c r="BP68" t="s">
        <v>241</v>
      </c>
      <c r="BQ68">
        <v>4</v>
      </c>
      <c r="BS68" t="s">
        <v>219</v>
      </c>
      <c r="BT68" t="s">
        <v>220</v>
      </c>
      <c r="BU68" t="s">
        <v>206</v>
      </c>
      <c r="BX68" t="s">
        <v>221</v>
      </c>
      <c r="BY68" t="s">
        <v>221</v>
      </c>
      <c r="CA68" t="s">
        <v>287</v>
      </c>
      <c r="CC68" t="s">
        <v>222</v>
      </c>
      <c r="CD68" t="s">
        <v>223</v>
      </c>
      <c r="CE68" t="s">
        <v>242</v>
      </c>
      <c r="CJ68" t="s">
        <v>206</v>
      </c>
      <c r="CK68" t="s">
        <v>230</v>
      </c>
      <c r="CL68" t="s">
        <v>231</v>
      </c>
      <c r="CM68" t="s">
        <v>232</v>
      </c>
      <c r="CN68" t="s">
        <v>233</v>
      </c>
      <c r="CP68" t="s">
        <v>212</v>
      </c>
      <c r="CQ68" t="s">
        <v>212</v>
      </c>
      <c r="CR68" t="s">
        <v>212</v>
      </c>
      <c r="CS68" t="s">
        <v>212</v>
      </c>
      <c r="CY68" t="s">
        <v>212</v>
      </c>
      <c r="DB68" t="s">
        <v>234</v>
      </c>
      <c r="DE68" t="s">
        <v>212</v>
      </c>
      <c r="DF68" t="s">
        <v>212</v>
      </c>
      <c r="DG68" t="s">
        <v>235</v>
      </c>
      <c r="DH68" t="s">
        <v>212</v>
      </c>
      <c r="DJ68" t="s">
        <v>236</v>
      </c>
      <c r="DM68" t="s">
        <v>212</v>
      </c>
    </row>
    <row r="69" spans="1:117" x14ac:dyDescent="0.3">
      <c r="A69">
        <v>13149034</v>
      </c>
      <c r="B69">
        <v>8910534</v>
      </c>
      <c r="C69" t="str">
        <f>"130812604528"</f>
        <v>130812604528</v>
      </c>
      <c r="D69" t="s">
        <v>498</v>
      </c>
      <c r="E69" t="s">
        <v>499</v>
      </c>
      <c r="F69" t="s">
        <v>500</v>
      </c>
      <c r="G69" s="1">
        <v>41498</v>
      </c>
      <c r="I69" t="s">
        <v>199</v>
      </c>
      <c r="J69" t="s">
        <v>200</v>
      </c>
      <c r="K69" t="s">
        <v>201</v>
      </c>
      <c r="R69" t="str">
        <f>"КАЗАХСТАН, АКМОЛИНСКАЯ, СТЕПНОГОРСК, 11, 94"</f>
        <v>КАЗАХСТАН, АКМОЛИНСКАЯ, СТЕПНОГОРСК, 11, 94</v>
      </c>
      <c r="S69" t="str">
        <f>"ҚАЗАҚСТАН, АҚМОЛА, СТЕПНОГОР, 11, 94"</f>
        <v>ҚАЗАҚСТАН, АҚМОЛА, СТЕПНОГОР, 11, 94</v>
      </c>
      <c r="T69" t="str">
        <f>"11, 94"</f>
        <v>11, 94</v>
      </c>
      <c r="U69" t="str">
        <f>"11, 94"</f>
        <v>11, 94</v>
      </c>
      <c r="AC69" t="str">
        <f>"2019-06-27T00:00:00"</f>
        <v>2019-06-27T00:00:00</v>
      </c>
      <c r="AD69" t="str">
        <f>"100"</f>
        <v>100</v>
      </c>
      <c r="AG69" t="s">
        <v>202</v>
      </c>
      <c r="AI69" t="s">
        <v>274</v>
      </c>
      <c r="AJ69" t="s">
        <v>501</v>
      </c>
      <c r="AK69" t="s">
        <v>253</v>
      </c>
      <c r="AL69" t="s">
        <v>206</v>
      </c>
      <c r="AN69" t="s">
        <v>254</v>
      </c>
      <c r="AO69">
        <v>1</v>
      </c>
      <c r="AP69" t="s">
        <v>208</v>
      </c>
      <c r="AQ69" t="s">
        <v>209</v>
      </c>
      <c r="AR69" t="s">
        <v>502</v>
      </c>
      <c r="AW69" t="s">
        <v>212</v>
      </c>
      <c r="AZ69" t="s">
        <v>209</v>
      </c>
      <c r="BI69" t="s">
        <v>212</v>
      </c>
      <c r="BJ69" t="s">
        <v>213</v>
      </c>
      <c r="BK69" t="s">
        <v>497</v>
      </c>
      <c r="BL69" t="s">
        <v>357</v>
      </c>
      <c r="BN69" t="s">
        <v>247</v>
      </c>
      <c r="BO69" t="s">
        <v>209</v>
      </c>
      <c r="BP69" t="s">
        <v>241</v>
      </c>
      <c r="BQ69">
        <v>3</v>
      </c>
      <c r="BS69" t="s">
        <v>219</v>
      </c>
      <c r="BT69" t="s">
        <v>220</v>
      </c>
      <c r="BU69" t="s">
        <v>206</v>
      </c>
      <c r="BX69" t="s">
        <v>221</v>
      </c>
      <c r="BY69" t="s">
        <v>221</v>
      </c>
      <c r="BZ69" t="s">
        <v>503</v>
      </c>
      <c r="CA69" t="s">
        <v>287</v>
      </c>
      <c r="CC69" t="s">
        <v>222</v>
      </c>
      <c r="CD69" t="s">
        <v>223</v>
      </c>
      <c r="CE69" t="s">
        <v>242</v>
      </c>
      <c r="CJ69" t="s">
        <v>206</v>
      </c>
      <c r="CK69" t="s">
        <v>230</v>
      </c>
      <c r="CL69" t="s">
        <v>231</v>
      </c>
      <c r="CM69" t="s">
        <v>232</v>
      </c>
      <c r="CN69" t="s">
        <v>233</v>
      </c>
      <c r="CP69" t="s">
        <v>212</v>
      </c>
      <c r="CQ69" t="s">
        <v>212</v>
      </c>
      <c r="CR69" t="s">
        <v>212</v>
      </c>
      <c r="CS69" t="s">
        <v>212</v>
      </c>
      <c r="CY69" t="s">
        <v>212</v>
      </c>
      <c r="DB69" t="s">
        <v>234</v>
      </c>
      <c r="DE69" t="s">
        <v>212</v>
      </c>
      <c r="DF69" t="s">
        <v>212</v>
      </c>
      <c r="DG69" t="s">
        <v>235</v>
      </c>
      <c r="DH69" t="s">
        <v>212</v>
      </c>
      <c r="DJ69" t="s">
        <v>236</v>
      </c>
      <c r="DM69" t="s">
        <v>212</v>
      </c>
    </row>
    <row r="70" spans="1:117" x14ac:dyDescent="0.3">
      <c r="A70">
        <v>13254006</v>
      </c>
      <c r="B70">
        <v>840795</v>
      </c>
      <c r="C70" t="str">
        <f>"140624000170"</f>
        <v>140624000170</v>
      </c>
      <c r="D70" t="s">
        <v>504</v>
      </c>
      <c r="E70" t="s">
        <v>505</v>
      </c>
      <c r="F70" t="s">
        <v>506</v>
      </c>
      <c r="G70" s="1">
        <v>41814</v>
      </c>
      <c r="I70" t="s">
        <v>199</v>
      </c>
      <c r="J70" t="s">
        <v>200</v>
      </c>
      <c r="K70" t="s">
        <v>201</v>
      </c>
      <c r="Q70" t="s">
        <v>212</v>
      </c>
      <c r="R70" t="str">
        <f>"КАЗАХСТАН, АКМОЛИНСКАЯ, СТЕПНОГОРСК, 10, 82"</f>
        <v>КАЗАХСТАН, АКМОЛИНСКАЯ, СТЕПНОГОРСК, 10, 82</v>
      </c>
      <c r="S70" t="str">
        <f>"ҚАЗАҚСТАН, АҚМОЛА, СТЕПНОГОР, 10, 82"</f>
        <v>ҚАЗАҚСТАН, АҚМОЛА, СТЕПНОГОР, 10, 82</v>
      </c>
      <c r="T70" t="str">
        <f>"10, 82"</f>
        <v>10, 82</v>
      </c>
      <c r="U70" t="str">
        <f>"10, 82"</f>
        <v>10, 82</v>
      </c>
      <c r="AC70" t="str">
        <f>"2019-09-02T00:00:00"</f>
        <v>2019-09-02T00:00:00</v>
      </c>
      <c r="AD70" t="str">
        <f>"1"</f>
        <v>1</v>
      </c>
      <c r="AG70" t="s">
        <v>202</v>
      </c>
      <c r="AI70" t="s">
        <v>299</v>
      </c>
      <c r="AJ70" t="s">
        <v>501</v>
      </c>
      <c r="AK70" t="s">
        <v>253</v>
      </c>
      <c r="AL70" t="s">
        <v>206</v>
      </c>
      <c r="AN70" t="s">
        <v>254</v>
      </c>
      <c r="AO70">
        <v>1</v>
      </c>
      <c r="AP70" t="s">
        <v>208</v>
      </c>
      <c r="AQ70" t="s">
        <v>209</v>
      </c>
      <c r="AR70" t="s">
        <v>502</v>
      </c>
      <c r="AW70" t="s">
        <v>212</v>
      </c>
      <c r="AZ70" t="s">
        <v>209</v>
      </c>
      <c r="BI70" t="s">
        <v>212</v>
      </c>
      <c r="BJ70" t="s">
        <v>213</v>
      </c>
      <c r="BK70" t="s">
        <v>214</v>
      </c>
      <c r="BL70" t="s">
        <v>357</v>
      </c>
      <c r="BN70" t="s">
        <v>247</v>
      </c>
      <c r="BO70" t="s">
        <v>209</v>
      </c>
      <c r="BP70" t="s">
        <v>241</v>
      </c>
      <c r="BQ70">
        <v>3</v>
      </c>
      <c r="BS70" t="s">
        <v>219</v>
      </c>
      <c r="BT70" t="s">
        <v>220</v>
      </c>
      <c r="BU70" t="s">
        <v>206</v>
      </c>
      <c r="BX70" t="s">
        <v>221</v>
      </c>
      <c r="BY70" t="s">
        <v>221</v>
      </c>
      <c r="BZ70" t="s">
        <v>503</v>
      </c>
      <c r="CA70" t="s">
        <v>287</v>
      </c>
      <c r="CC70" t="s">
        <v>222</v>
      </c>
      <c r="CD70" t="s">
        <v>223</v>
      </c>
      <c r="CE70" t="s">
        <v>242</v>
      </c>
      <c r="CJ70" t="s">
        <v>206</v>
      </c>
      <c r="CK70" t="s">
        <v>230</v>
      </c>
      <c r="CL70" t="s">
        <v>231</v>
      </c>
      <c r="CM70" t="s">
        <v>232</v>
      </c>
      <c r="CN70" t="s">
        <v>233</v>
      </c>
      <c r="CP70" t="s">
        <v>212</v>
      </c>
      <c r="CQ70" t="s">
        <v>212</v>
      </c>
      <c r="CR70" t="s">
        <v>212</v>
      </c>
      <c r="CS70" t="s">
        <v>212</v>
      </c>
      <c r="CY70" t="s">
        <v>212</v>
      </c>
      <c r="DB70" t="s">
        <v>234</v>
      </c>
      <c r="DE70" t="s">
        <v>212</v>
      </c>
      <c r="DF70" t="s">
        <v>212</v>
      </c>
      <c r="DG70" t="s">
        <v>235</v>
      </c>
      <c r="DH70" t="s">
        <v>212</v>
      </c>
      <c r="DJ70" t="s">
        <v>236</v>
      </c>
      <c r="DM70" t="s">
        <v>212</v>
      </c>
    </row>
    <row r="71" spans="1:117" x14ac:dyDescent="0.3">
      <c r="A71">
        <v>13263448</v>
      </c>
      <c r="B71">
        <v>760265</v>
      </c>
      <c r="C71" t="str">
        <f>"120424502643"</f>
        <v>120424502643</v>
      </c>
      <c r="D71" t="s">
        <v>507</v>
      </c>
      <c r="E71" t="s">
        <v>508</v>
      </c>
      <c r="F71" t="s">
        <v>239</v>
      </c>
      <c r="G71" s="1">
        <v>41023</v>
      </c>
      <c r="I71" t="s">
        <v>240</v>
      </c>
      <c r="J71" t="s">
        <v>200</v>
      </c>
      <c r="K71" t="s">
        <v>369</v>
      </c>
      <c r="Q71" t="s">
        <v>212</v>
      </c>
      <c r="R71" t="str">
        <f>"КАЗАХСТАН, АКМОЛИНСКАЯ, СТЕПНОГОРСК, 79, 37"</f>
        <v>КАЗАХСТАН, АКМОЛИНСКАЯ, СТЕПНОГОРСК, 79, 37</v>
      </c>
      <c r="S71" t="str">
        <f>"ҚАЗАҚСТАН, АҚМОЛА, СТЕПНОГОР, 79, 37"</f>
        <v>ҚАЗАҚСТАН, АҚМОЛА, СТЕПНОГОР, 79, 37</v>
      </c>
      <c r="T71" t="str">
        <f>"79, 37"</f>
        <v>79, 37</v>
      </c>
      <c r="U71" t="str">
        <f>"79, 37"</f>
        <v>79, 37</v>
      </c>
      <c r="AC71" t="str">
        <f>"2019-06-11T00:00:00"</f>
        <v>2019-06-11T00:00:00</v>
      </c>
      <c r="AD71" t="str">
        <f>"83"</f>
        <v>83</v>
      </c>
      <c r="AG71" t="s">
        <v>202</v>
      </c>
      <c r="AI71" t="s">
        <v>299</v>
      </c>
      <c r="AJ71" t="s">
        <v>419</v>
      </c>
      <c r="AK71" t="s">
        <v>205</v>
      </c>
      <c r="AL71" t="s">
        <v>206</v>
      </c>
      <c r="AN71" t="s">
        <v>207</v>
      </c>
      <c r="AO71">
        <v>1</v>
      </c>
      <c r="AP71" t="s">
        <v>208</v>
      </c>
      <c r="AQ71" t="s">
        <v>209</v>
      </c>
      <c r="AR71" t="s">
        <v>210</v>
      </c>
      <c r="AW71" t="s">
        <v>206</v>
      </c>
      <c r="AX71" t="s">
        <v>211</v>
      </c>
      <c r="AZ71" t="s">
        <v>209</v>
      </c>
      <c r="BI71" t="s">
        <v>212</v>
      </c>
      <c r="BJ71" t="s">
        <v>213</v>
      </c>
      <c r="BK71" t="s">
        <v>214</v>
      </c>
      <c r="BL71" t="s">
        <v>215</v>
      </c>
      <c r="BN71" t="s">
        <v>216</v>
      </c>
      <c r="BO71" t="s">
        <v>209</v>
      </c>
      <c r="BP71" t="s">
        <v>241</v>
      </c>
      <c r="BQ71">
        <v>4</v>
      </c>
      <c r="BS71" t="s">
        <v>219</v>
      </c>
      <c r="BT71" t="s">
        <v>220</v>
      </c>
      <c r="BU71" t="s">
        <v>206</v>
      </c>
      <c r="BX71" t="s">
        <v>234</v>
      </c>
      <c r="BY71" t="s">
        <v>234</v>
      </c>
      <c r="CA71" t="s">
        <v>256</v>
      </c>
      <c r="CB71" t="s">
        <v>223</v>
      </c>
      <c r="CC71" t="s">
        <v>222</v>
      </c>
      <c r="CD71" t="s">
        <v>223</v>
      </c>
      <c r="CE71" t="s">
        <v>242</v>
      </c>
      <c r="CJ71" t="s">
        <v>206</v>
      </c>
      <c r="CK71" t="s">
        <v>230</v>
      </c>
      <c r="CL71" t="s">
        <v>231</v>
      </c>
      <c r="CM71" t="s">
        <v>232</v>
      </c>
      <c r="CN71" t="s">
        <v>233</v>
      </c>
      <c r="CP71" t="s">
        <v>212</v>
      </c>
      <c r="CQ71" t="s">
        <v>212</v>
      </c>
      <c r="CR71" t="s">
        <v>212</v>
      </c>
      <c r="CS71" t="s">
        <v>212</v>
      </c>
      <c r="CY71" t="s">
        <v>212</v>
      </c>
      <c r="DB71" t="s">
        <v>234</v>
      </c>
      <c r="DE71" t="s">
        <v>212</v>
      </c>
      <c r="DF71" t="s">
        <v>212</v>
      </c>
      <c r="DG71" t="s">
        <v>235</v>
      </c>
      <c r="DH71" t="s">
        <v>212</v>
      </c>
      <c r="DJ71" t="s">
        <v>236</v>
      </c>
      <c r="DM71" t="s">
        <v>206</v>
      </c>
    </row>
    <row r="72" spans="1:117" x14ac:dyDescent="0.3">
      <c r="A72">
        <v>13263451</v>
      </c>
      <c r="B72">
        <v>798910</v>
      </c>
      <c r="C72" t="str">
        <f>"120228505157"</f>
        <v>120228505157</v>
      </c>
      <c r="D72" t="s">
        <v>509</v>
      </c>
      <c r="E72" t="s">
        <v>510</v>
      </c>
      <c r="F72" t="s">
        <v>511</v>
      </c>
      <c r="G72" s="1">
        <v>40967</v>
      </c>
      <c r="I72" t="s">
        <v>240</v>
      </c>
      <c r="J72" t="s">
        <v>200</v>
      </c>
      <c r="K72" t="s">
        <v>201</v>
      </c>
      <c r="Q72" t="s">
        <v>212</v>
      </c>
      <c r="R72" t="str">
        <f>"КАЗАХСТАН, АКМОЛИНСКАЯ, СТЕПНОГОРСК, 14"</f>
        <v>КАЗАХСТАН, АКМОЛИНСКАЯ, СТЕПНОГОРСК, 14</v>
      </c>
      <c r="S72" t="str">
        <f>"ҚАЗАҚСТАН, АҚМОЛА, СТЕПНОГОР, 14"</f>
        <v>ҚАЗАҚСТАН, АҚМОЛА, СТЕПНОГОР, 14</v>
      </c>
      <c r="T72" t="str">
        <f>"14"</f>
        <v>14</v>
      </c>
      <c r="U72" t="str">
        <f>"14"</f>
        <v>14</v>
      </c>
      <c r="AC72" t="str">
        <f>"2019-06-11T00:00:00"</f>
        <v>2019-06-11T00:00:00</v>
      </c>
      <c r="AD72" t="str">
        <f>"83"</f>
        <v>83</v>
      </c>
      <c r="AG72" t="s">
        <v>202</v>
      </c>
      <c r="AI72" t="s">
        <v>299</v>
      </c>
      <c r="AJ72" t="s">
        <v>419</v>
      </c>
      <c r="AK72" t="s">
        <v>205</v>
      </c>
      <c r="AL72" t="s">
        <v>206</v>
      </c>
      <c r="AN72" t="s">
        <v>207</v>
      </c>
      <c r="AO72">
        <v>1</v>
      </c>
      <c r="AP72" t="s">
        <v>208</v>
      </c>
      <c r="AQ72" t="s">
        <v>209</v>
      </c>
      <c r="AR72" t="s">
        <v>210</v>
      </c>
      <c r="AW72" t="s">
        <v>206</v>
      </c>
      <c r="AX72" t="s">
        <v>211</v>
      </c>
      <c r="AZ72" t="s">
        <v>209</v>
      </c>
      <c r="BI72" t="s">
        <v>212</v>
      </c>
      <c r="BJ72" t="s">
        <v>213</v>
      </c>
      <c r="BK72" t="s">
        <v>214</v>
      </c>
      <c r="BL72" t="s">
        <v>215</v>
      </c>
      <c r="BN72" t="s">
        <v>216</v>
      </c>
      <c r="BO72" t="s">
        <v>209</v>
      </c>
      <c r="BP72" t="s">
        <v>241</v>
      </c>
      <c r="BQ72">
        <v>4</v>
      </c>
      <c r="BS72" t="s">
        <v>219</v>
      </c>
      <c r="BT72" t="s">
        <v>220</v>
      </c>
      <c r="BU72" t="s">
        <v>206</v>
      </c>
      <c r="BX72" t="s">
        <v>221</v>
      </c>
      <c r="BY72" t="s">
        <v>221</v>
      </c>
      <c r="CA72" t="s">
        <v>287</v>
      </c>
      <c r="CC72" t="s">
        <v>222</v>
      </c>
      <c r="CD72" t="s">
        <v>223</v>
      </c>
      <c r="CE72" t="s">
        <v>242</v>
      </c>
      <c r="CJ72" t="s">
        <v>206</v>
      </c>
      <c r="CK72" t="s">
        <v>230</v>
      </c>
      <c r="CL72" t="s">
        <v>231</v>
      </c>
      <c r="CM72" t="s">
        <v>232</v>
      </c>
      <c r="CN72" t="s">
        <v>233</v>
      </c>
      <c r="CP72" t="s">
        <v>212</v>
      </c>
      <c r="CQ72" t="s">
        <v>212</v>
      </c>
      <c r="CR72" t="s">
        <v>212</v>
      </c>
      <c r="CS72" t="s">
        <v>212</v>
      </c>
      <c r="CY72" t="s">
        <v>212</v>
      </c>
      <c r="DB72" t="s">
        <v>234</v>
      </c>
      <c r="DE72" t="s">
        <v>212</v>
      </c>
      <c r="DF72" t="s">
        <v>212</v>
      </c>
      <c r="DG72" t="s">
        <v>235</v>
      </c>
      <c r="DH72" t="s">
        <v>212</v>
      </c>
      <c r="DJ72" t="s">
        <v>236</v>
      </c>
      <c r="DM72" t="s">
        <v>212</v>
      </c>
    </row>
    <row r="73" spans="1:117" x14ac:dyDescent="0.3">
      <c r="A73">
        <v>13263455</v>
      </c>
      <c r="B73">
        <v>838279</v>
      </c>
      <c r="C73" t="str">
        <f>"121007600242"</f>
        <v>121007600242</v>
      </c>
      <c r="D73" t="s">
        <v>512</v>
      </c>
      <c r="E73" t="s">
        <v>513</v>
      </c>
      <c r="F73" t="s">
        <v>514</v>
      </c>
      <c r="G73" s="1">
        <v>41189</v>
      </c>
      <c r="I73" t="s">
        <v>199</v>
      </c>
      <c r="J73" t="s">
        <v>200</v>
      </c>
      <c r="K73" t="s">
        <v>201</v>
      </c>
      <c r="Q73" t="s">
        <v>212</v>
      </c>
      <c r="R73" t="str">
        <f>"КАЗАХСТАН, АКМОЛИНСКАЯ, СТЕПНОГОРСК, 15, 254"</f>
        <v>КАЗАХСТАН, АКМОЛИНСКАЯ, СТЕПНОГОРСК, 15, 254</v>
      </c>
      <c r="S73" t="str">
        <f>"ҚАЗАҚСТАН, АҚМОЛА, СТЕПНОГОР, 15, 254"</f>
        <v>ҚАЗАҚСТАН, АҚМОЛА, СТЕПНОГОР, 15, 254</v>
      </c>
      <c r="T73" t="str">
        <f>"15, 254"</f>
        <v>15, 254</v>
      </c>
      <c r="U73" t="str">
        <f>"15, 254"</f>
        <v>15, 254</v>
      </c>
      <c r="AC73" t="str">
        <f>"2019-06-17T00:00:00"</f>
        <v>2019-06-17T00:00:00</v>
      </c>
      <c r="AD73" t="str">
        <f>"88"</f>
        <v>88</v>
      </c>
      <c r="AE73" t="str">
        <f>"2023-09-01T10:18:06"</f>
        <v>2023-09-01T10:18:06</v>
      </c>
      <c r="AF73" t="str">
        <f>"2024-05-25T10:18:06"</f>
        <v>2024-05-25T10:18:06</v>
      </c>
      <c r="AG73" t="s">
        <v>202</v>
      </c>
      <c r="AI73" t="s">
        <v>299</v>
      </c>
      <c r="AJ73" t="s">
        <v>419</v>
      </c>
      <c r="AK73" t="s">
        <v>261</v>
      </c>
      <c r="AL73" t="s">
        <v>206</v>
      </c>
      <c r="AN73" t="s">
        <v>207</v>
      </c>
      <c r="AO73">
        <v>1</v>
      </c>
      <c r="AP73" t="s">
        <v>208</v>
      </c>
      <c r="AQ73" t="s">
        <v>209</v>
      </c>
      <c r="AR73" t="s">
        <v>210</v>
      </c>
      <c r="AW73" t="s">
        <v>206</v>
      </c>
      <c r="AX73" t="s">
        <v>211</v>
      </c>
      <c r="AZ73" t="s">
        <v>209</v>
      </c>
      <c r="BI73" t="s">
        <v>212</v>
      </c>
      <c r="BJ73" t="s">
        <v>213</v>
      </c>
      <c r="BK73" t="s">
        <v>214</v>
      </c>
      <c r="BL73" t="s">
        <v>215</v>
      </c>
      <c r="BN73" t="s">
        <v>247</v>
      </c>
      <c r="BO73" t="s">
        <v>209</v>
      </c>
      <c r="BP73" t="s">
        <v>241</v>
      </c>
      <c r="BQ73">
        <v>3</v>
      </c>
      <c r="BS73" t="s">
        <v>219</v>
      </c>
      <c r="BT73" t="s">
        <v>220</v>
      </c>
      <c r="BU73" t="s">
        <v>206</v>
      </c>
      <c r="BX73" t="s">
        <v>221</v>
      </c>
      <c r="BY73" t="s">
        <v>221</v>
      </c>
      <c r="CA73" t="s">
        <v>287</v>
      </c>
      <c r="CC73" t="s">
        <v>222</v>
      </c>
      <c r="CD73" t="s">
        <v>223</v>
      </c>
      <c r="CE73" t="s">
        <v>242</v>
      </c>
      <c r="CJ73" t="s">
        <v>206</v>
      </c>
      <c r="CK73" t="s">
        <v>230</v>
      </c>
      <c r="CL73" t="s">
        <v>231</v>
      </c>
      <c r="CM73" t="s">
        <v>232</v>
      </c>
      <c r="CN73" t="s">
        <v>233</v>
      </c>
      <c r="CP73" t="s">
        <v>212</v>
      </c>
      <c r="CQ73" t="s">
        <v>212</v>
      </c>
      <c r="CR73" t="s">
        <v>212</v>
      </c>
      <c r="CS73" t="s">
        <v>212</v>
      </c>
      <c r="CY73" t="s">
        <v>206</v>
      </c>
      <c r="CZ73" t="str">
        <f>"2023-05-05T12:25:30"</f>
        <v>2023-05-05T12:25:30</v>
      </c>
      <c r="DB73" t="s">
        <v>234</v>
      </c>
      <c r="DE73" t="s">
        <v>212</v>
      </c>
      <c r="DF73" t="s">
        <v>212</v>
      </c>
      <c r="DG73" t="s">
        <v>235</v>
      </c>
      <c r="DH73" t="s">
        <v>212</v>
      </c>
      <c r="DJ73" t="s">
        <v>236</v>
      </c>
      <c r="DM73" t="s">
        <v>212</v>
      </c>
    </row>
    <row r="74" spans="1:117" x14ac:dyDescent="0.3">
      <c r="A74">
        <v>13264179</v>
      </c>
      <c r="B74">
        <v>760770</v>
      </c>
      <c r="C74" t="str">
        <f>"130508601690"</f>
        <v>130508601690</v>
      </c>
      <c r="D74" t="s">
        <v>515</v>
      </c>
      <c r="E74" t="s">
        <v>516</v>
      </c>
      <c r="F74" t="s">
        <v>400</v>
      </c>
      <c r="G74" s="1">
        <v>41402</v>
      </c>
      <c r="I74" t="s">
        <v>199</v>
      </c>
      <c r="J74" t="s">
        <v>200</v>
      </c>
      <c r="K74" t="s">
        <v>260</v>
      </c>
      <c r="Q74" t="s">
        <v>212</v>
      </c>
      <c r="R74" t="str">
        <f>"КАЗАХСТАН, АКМОЛИНСКАЯ, СТЕПНОГОРСК, 36, 53"</f>
        <v>КАЗАХСТАН, АКМОЛИНСКАЯ, СТЕПНОГОРСК, 36, 53</v>
      </c>
      <c r="S74" t="str">
        <f>"ҚАЗАҚСТАН, АҚМОЛА, СТЕПНОГОР, 36, 53"</f>
        <v>ҚАЗАҚСТАН, АҚМОЛА, СТЕПНОГОР, 36, 53</v>
      </c>
      <c r="T74" t="str">
        <f>"36, 53"</f>
        <v>36, 53</v>
      </c>
      <c r="U74" t="str">
        <f>"36, 53"</f>
        <v>36, 53</v>
      </c>
      <c r="AC74" t="str">
        <f>"2019-08-29T00:00:00"</f>
        <v>2019-08-29T00:00:00</v>
      </c>
      <c r="AD74" t="str">
        <f>"160"</f>
        <v>160</v>
      </c>
      <c r="AE74" t="str">
        <f>"2023-09-01T23:40:18"</f>
        <v>2023-09-01T23:40:18</v>
      </c>
      <c r="AF74" t="str">
        <f>"2024-05-25T23:40:18"</f>
        <v>2024-05-25T23:40:18</v>
      </c>
      <c r="AG74" t="s">
        <v>202</v>
      </c>
      <c r="AI74" t="s">
        <v>299</v>
      </c>
      <c r="AJ74" t="s">
        <v>501</v>
      </c>
      <c r="AK74" t="s">
        <v>261</v>
      </c>
      <c r="AL74" t="s">
        <v>206</v>
      </c>
      <c r="AN74" t="s">
        <v>207</v>
      </c>
      <c r="AO74">
        <v>1</v>
      </c>
      <c r="AP74" t="s">
        <v>208</v>
      </c>
      <c r="AQ74" t="s">
        <v>209</v>
      </c>
      <c r="AR74" t="s">
        <v>502</v>
      </c>
      <c r="AW74" t="s">
        <v>212</v>
      </c>
      <c r="AZ74" t="s">
        <v>209</v>
      </c>
      <c r="BI74" t="s">
        <v>212</v>
      </c>
      <c r="BJ74" t="s">
        <v>213</v>
      </c>
      <c r="BK74" t="s">
        <v>214</v>
      </c>
      <c r="BL74" t="s">
        <v>357</v>
      </c>
      <c r="BN74" t="s">
        <v>247</v>
      </c>
      <c r="BO74" t="s">
        <v>209</v>
      </c>
      <c r="BP74" t="s">
        <v>241</v>
      </c>
      <c r="BQ74">
        <v>3</v>
      </c>
      <c r="BS74" t="s">
        <v>219</v>
      </c>
      <c r="BT74" t="s">
        <v>220</v>
      </c>
      <c r="BU74" t="s">
        <v>206</v>
      </c>
      <c r="BX74" t="s">
        <v>221</v>
      </c>
      <c r="BY74" t="s">
        <v>221</v>
      </c>
      <c r="BZ74" t="s">
        <v>503</v>
      </c>
      <c r="CA74" t="s">
        <v>287</v>
      </c>
      <c r="CC74" t="s">
        <v>222</v>
      </c>
      <c r="CD74" t="s">
        <v>223</v>
      </c>
      <c r="CE74" t="s">
        <v>242</v>
      </c>
      <c r="CJ74" t="s">
        <v>206</v>
      </c>
      <c r="CK74" t="s">
        <v>230</v>
      </c>
      <c r="CL74" t="s">
        <v>231</v>
      </c>
      <c r="CM74" t="s">
        <v>232</v>
      </c>
      <c r="CN74" t="s">
        <v>233</v>
      </c>
      <c r="CP74" t="s">
        <v>212</v>
      </c>
      <c r="CQ74" t="s">
        <v>212</v>
      </c>
      <c r="CR74" t="s">
        <v>212</v>
      </c>
      <c r="CS74" t="s">
        <v>212</v>
      </c>
      <c r="CY74" t="s">
        <v>212</v>
      </c>
      <c r="DB74" t="s">
        <v>234</v>
      </c>
      <c r="DE74" t="s">
        <v>212</v>
      </c>
      <c r="DF74" t="s">
        <v>212</v>
      </c>
      <c r="DG74" t="s">
        <v>235</v>
      </c>
      <c r="DH74" t="s">
        <v>212</v>
      </c>
      <c r="DJ74" t="s">
        <v>236</v>
      </c>
      <c r="DM74" t="s">
        <v>206</v>
      </c>
    </row>
    <row r="75" spans="1:117" x14ac:dyDescent="0.3">
      <c r="A75">
        <v>13264665</v>
      </c>
      <c r="B75">
        <v>919776</v>
      </c>
      <c r="C75" t="str">
        <f>"140523603441"</f>
        <v>140523603441</v>
      </c>
      <c r="D75" t="s">
        <v>517</v>
      </c>
      <c r="E75" t="s">
        <v>518</v>
      </c>
      <c r="F75" t="s">
        <v>368</v>
      </c>
      <c r="G75" s="1">
        <v>41782</v>
      </c>
      <c r="I75" t="s">
        <v>199</v>
      </c>
      <c r="J75" t="s">
        <v>200</v>
      </c>
      <c r="K75" t="s">
        <v>369</v>
      </c>
      <c r="Q75" t="s">
        <v>212</v>
      </c>
      <c r="R75" t="str">
        <f>"КАЗАХСТАН, АКМОЛИНСКАЯ, СТЕПНОГОРСК, 52, 510"</f>
        <v>КАЗАХСТАН, АКМОЛИНСКАЯ, СТЕПНОГОРСК, 52, 510</v>
      </c>
      <c r="S75" t="str">
        <f>"ҚАЗАҚСТАН, АҚМОЛА, СТЕПНОГОР, 52, 510"</f>
        <v>ҚАЗАҚСТАН, АҚМОЛА, СТЕПНОГОР, 52, 510</v>
      </c>
      <c r="T75" t="str">
        <f>"52, 510"</f>
        <v>52, 510</v>
      </c>
      <c r="U75" t="str">
        <f>"52, 510"</f>
        <v>52, 510</v>
      </c>
      <c r="AC75" t="str">
        <f>"2019-08-29T00:00:00"</f>
        <v>2019-08-29T00:00:00</v>
      </c>
      <c r="AD75" t="str">
        <f>"160"</f>
        <v>160</v>
      </c>
      <c r="AG75" t="s">
        <v>202</v>
      </c>
      <c r="AI75" t="s">
        <v>274</v>
      </c>
      <c r="AJ75" t="s">
        <v>501</v>
      </c>
      <c r="AK75" t="s">
        <v>261</v>
      </c>
      <c r="AL75" t="s">
        <v>206</v>
      </c>
      <c r="AN75" t="s">
        <v>207</v>
      </c>
      <c r="AO75">
        <v>1</v>
      </c>
      <c r="AP75" t="s">
        <v>208</v>
      </c>
      <c r="AQ75" t="s">
        <v>209</v>
      </c>
      <c r="AR75" t="s">
        <v>502</v>
      </c>
      <c r="AW75" t="s">
        <v>212</v>
      </c>
      <c r="AZ75" t="s">
        <v>209</v>
      </c>
      <c r="BI75" t="s">
        <v>212</v>
      </c>
      <c r="BJ75" t="s">
        <v>213</v>
      </c>
      <c r="BK75" t="s">
        <v>214</v>
      </c>
      <c r="BL75" t="s">
        <v>357</v>
      </c>
      <c r="BN75" t="s">
        <v>281</v>
      </c>
      <c r="BO75" t="s">
        <v>209</v>
      </c>
      <c r="BP75" t="s">
        <v>241</v>
      </c>
      <c r="BQ75">
        <v>5</v>
      </c>
      <c r="BS75" t="s">
        <v>219</v>
      </c>
      <c r="BT75" t="s">
        <v>220</v>
      </c>
      <c r="BU75" t="s">
        <v>206</v>
      </c>
      <c r="BX75" t="s">
        <v>234</v>
      </c>
      <c r="BY75" t="s">
        <v>234</v>
      </c>
      <c r="BZ75" t="s">
        <v>503</v>
      </c>
      <c r="CA75" t="s">
        <v>287</v>
      </c>
      <c r="CC75" t="s">
        <v>222</v>
      </c>
      <c r="CD75" t="s">
        <v>223</v>
      </c>
      <c r="CE75" t="s">
        <v>242</v>
      </c>
      <c r="CJ75" t="s">
        <v>206</v>
      </c>
      <c r="CK75" t="s">
        <v>230</v>
      </c>
      <c r="CL75" t="s">
        <v>231</v>
      </c>
      <c r="CM75" t="s">
        <v>232</v>
      </c>
      <c r="CN75" t="s">
        <v>233</v>
      </c>
      <c r="CP75" t="s">
        <v>212</v>
      </c>
      <c r="CQ75" t="s">
        <v>212</v>
      </c>
      <c r="CR75" t="s">
        <v>212</v>
      </c>
      <c r="CS75" t="s">
        <v>212</v>
      </c>
      <c r="CY75" t="s">
        <v>212</v>
      </c>
      <c r="DB75" t="s">
        <v>234</v>
      </c>
      <c r="DE75" t="s">
        <v>212</v>
      </c>
      <c r="DF75" t="s">
        <v>212</v>
      </c>
      <c r="DG75" t="s">
        <v>235</v>
      </c>
      <c r="DH75" t="s">
        <v>212</v>
      </c>
      <c r="DJ75" t="s">
        <v>236</v>
      </c>
      <c r="DM75" t="s">
        <v>212</v>
      </c>
    </row>
    <row r="76" spans="1:117" x14ac:dyDescent="0.3">
      <c r="A76">
        <v>13385161</v>
      </c>
      <c r="B76">
        <v>184515</v>
      </c>
      <c r="C76" t="str">
        <f>"100614552669"</f>
        <v>100614552669</v>
      </c>
      <c r="D76" t="s">
        <v>519</v>
      </c>
      <c r="E76" t="s">
        <v>520</v>
      </c>
      <c r="F76" t="s">
        <v>521</v>
      </c>
      <c r="G76" s="1">
        <v>40343</v>
      </c>
      <c r="I76" t="s">
        <v>240</v>
      </c>
      <c r="J76" t="s">
        <v>200</v>
      </c>
      <c r="K76" t="s">
        <v>260</v>
      </c>
      <c r="R76" t="str">
        <f>"КАЗАХСТАН, АКМОЛИНСКАЯ, СТЕПНОГОРСК, 39, 47"</f>
        <v>КАЗАХСТАН, АКМОЛИНСКАЯ, СТЕПНОГОРСК, 39, 47</v>
      </c>
      <c r="S76" t="str">
        <f>"ҚАЗАҚСТАН, АҚМОЛА, СТЕПНОГОР, 39, 47"</f>
        <v>ҚАЗАҚСТАН, АҚМОЛА, СТЕПНОГОР, 39, 47</v>
      </c>
      <c r="T76" t="str">
        <f>"39, 47"</f>
        <v>39, 47</v>
      </c>
      <c r="U76" t="str">
        <f>"39, 47"</f>
        <v>39, 47</v>
      </c>
      <c r="AC76" t="str">
        <f>"2019-09-02T00:00:00"</f>
        <v>2019-09-02T00:00:00</v>
      </c>
      <c r="AD76" t="str">
        <f>"1"</f>
        <v>1</v>
      </c>
      <c r="AG76" t="s">
        <v>202</v>
      </c>
      <c r="AI76" t="s">
        <v>269</v>
      </c>
      <c r="AJ76" t="s">
        <v>300</v>
      </c>
      <c r="AK76" t="s">
        <v>261</v>
      </c>
      <c r="AL76" t="s">
        <v>206</v>
      </c>
      <c r="AN76" t="s">
        <v>207</v>
      </c>
      <c r="AO76">
        <v>1</v>
      </c>
      <c r="AP76" t="s">
        <v>208</v>
      </c>
      <c r="AQ76" t="s">
        <v>209</v>
      </c>
      <c r="AR76" t="s">
        <v>210</v>
      </c>
      <c r="AW76" t="s">
        <v>206</v>
      </c>
      <c r="AX76" t="s">
        <v>211</v>
      </c>
      <c r="AZ76" t="s">
        <v>209</v>
      </c>
      <c r="BI76" t="s">
        <v>212</v>
      </c>
      <c r="BJ76" t="s">
        <v>213</v>
      </c>
      <c r="BK76" t="s">
        <v>214</v>
      </c>
      <c r="BL76" t="s">
        <v>215</v>
      </c>
      <c r="BN76" t="s">
        <v>247</v>
      </c>
      <c r="BO76" t="s">
        <v>209</v>
      </c>
      <c r="BP76" t="s">
        <v>241</v>
      </c>
      <c r="BQ76">
        <v>3</v>
      </c>
      <c r="BS76" t="s">
        <v>219</v>
      </c>
      <c r="BT76" t="s">
        <v>220</v>
      </c>
      <c r="BU76" t="s">
        <v>206</v>
      </c>
      <c r="BX76" t="s">
        <v>221</v>
      </c>
      <c r="BY76" t="s">
        <v>221</v>
      </c>
      <c r="CA76" t="s">
        <v>222</v>
      </c>
      <c r="CB76" t="s">
        <v>223</v>
      </c>
      <c r="CC76" t="s">
        <v>222</v>
      </c>
      <c r="CD76" t="s">
        <v>223</v>
      </c>
      <c r="CE76" t="s">
        <v>242</v>
      </c>
      <c r="CJ76" t="s">
        <v>206</v>
      </c>
      <c r="CK76" t="s">
        <v>230</v>
      </c>
      <c r="CL76" t="s">
        <v>231</v>
      </c>
      <c r="CM76" t="s">
        <v>232</v>
      </c>
      <c r="CN76" t="s">
        <v>233</v>
      </c>
      <c r="CP76" t="s">
        <v>212</v>
      </c>
      <c r="CQ76" t="s">
        <v>212</v>
      </c>
      <c r="CR76" t="s">
        <v>212</v>
      </c>
      <c r="CS76" t="s">
        <v>212</v>
      </c>
      <c r="CY76" t="s">
        <v>212</v>
      </c>
      <c r="DB76" t="s">
        <v>234</v>
      </c>
      <c r="DE76" t="s">
        <v>212</v>
      </c>
      <c r="DF76" t="s">
        <v>212</v>
      </c>
      <c r="DG76" t="s">
        <v>235</v>
      </c>
      <c r="DH76" t="s">
        <v>212</v>
      </c>
      <c r="DJ76" t="s">
        <v>236</v>
      </c>
      <c r="DM76" t="s">
        <v>212</v>
      </c>
    </row>
    <row r="77" spans="1:117" x14ac:dyDescent="0.3">
      <c r="A77">
        <v>15326773</v>
      </c>
      <c r="B77">
        <v>174469</v>
      </c>
      <c r="C77" t="str">
        <f>"121218600262"</f>
        <v>121218600262</v>
      </c>
      <c r="D77" t="s">
        <v>522</v>
      </c>
      <c r="E77" t="s">
        <v>523</v>
      </c>
      <c r="F77" t="s">
        <v>524</v>
      </c>
      <c r="G77" s="1">
        <v>41261</v>
      </c>
      <c r="I77" t="s">
        <v>199</v>
      </c>
      <c r="J77" t="s">
        <v>200</v>
      </c>
      <c r="K77" t="s">
        <v>201</v>
      </c>
      <c r="Q77" t="s">
        <v>212</v>
      </c>
      <c r="R77" t="str">
        <f>"КАЗАХСТАН, АКМОЛИНСКАЯ, СТЕПНОГОРСК, 23, 79"</f>
        <v>КАЗАХСТАН, АКМОЛИНСКАЯ, СТЕПНОГОРСК, 23, 79</v>
      </c>
      <c r="S77" t="str">
        <f>"ҚАЗАҚСТАН, АҚМОЛА, СТЕПНОГОР, 23, 79"</f>
        <v>ҚАЗАҚСТАН, АҚМОЛА, СТЕПНОГОР, 23, 79</v>
      </c>
      <c r="T77" t="str">
        <f>"23, 79"</f>
        <v>23, 79</v>
      </c>
      <c r="U77" t="str">
        <f>"23, 79"</f>
        <v>23, 79</v>
      </c>
      <c r="AC77" t="str">
        <f>"2019-08-15T00:00:00"</f>
        <v>2019-08-15T00:00:00</v>
      </c>
      <c r="AD77" t="str">
        <f>"95"</f>
        <v>95</v>
      </c>
      <c r="AE77" t="str">
        <f>"2023-09-01T17:55:46"</f>
        <v>2023-09-01T17:55:46</v>
      </c>
      <c r="AF77" t="str">
        <f>"2024-05-25T17:55:46"</f>
        <v>2024-05-25T17:55:46</v>
      </c>
      <c r="AG77" t="s">
        <v>202</v>
      </c>
      <c r="AI77" t="s">
        <v>269</v>
      </c>
      <c r="AJ77" t="s">
        <v>419</v>
      </c>
      <c r="AK77" t="s">
        <v>253</v>
      </c>
      <c r="AL77" t="s">
        <v>206</v>
      </c>
      <c r="AN77" t="s">
        <v>254</v>
      </c>
      <c r="AO77">
        <v>1</v>
      </c>
      <c r="AP77" t="s">
        <v>208</v>
      </c>
      <c r="AQ77" t="s">
        <v>209</v>
      </c>
      <c r="AR77" t="s">
        <v>210</v>
      </c>
      <c r="AW77" t="s">
        <v>206</v>
      </c>
      <c r="AX77" t="s">
        <v>211</v>
      </c>
      <c r="AZ77" t="s">
        <v>209</v>
      </c>
      <c r="BI77" t="s">
        <v>212</v>
      </c>
      <c r="BJ77" t="s">
        <v>213</v>
      </c>
      <c r="BK77" t="s">
        <v>214</v>
      </c>
      <c r="BL77" t="s">
        <v>215</v>
      </c>
      <c r="BN77" t="s">
        <v>216</v>
      </c>
      <c r="BO77" t="s">
        <v>209</v>
      </c>
      <c r="BP77" t="s">
        <v>241</v>
      </c>
      <c r="BQ77">
        <v>4</v>
      </c>
      <c r="BS77" t="s">
        <v>219</v>
      </c>
      <c r="BT77" t="s">
        <v>220</v>
      </c>
      <c r="BU77" t="s">
        <v>206</v>
      </c>
      <c r="BX77" t="s">
        <v>221</v>
      </c>
      <c r="BY77" t="s">
        <v>221</v>
      </c>
      <c r="CA77" t="s">
        <v>263</v>
      </c>
      <c r="CB77" t="s">
        <v>223</v>
      </c>
      <c r="CC77" t="s">
        <v>256</v>
      </c>
      <c r="CD77" t="s">
        <v>349</v>
      </c>
      <c r="CE77" t="s">
        <v>242</v>
      </c>
      <c r="CJ77" t="s">
        <v>206</v>
      </c>
      <c r="CK77" t="s">
        <v>230</v>
      </c>
      <c r="CL77" t="s">
        <v>231</v>
      </c>
      <c r="CM77" t="s">
        <v>232</v>
      </c>
      <c r="CN77" t="s">
        <v>233</v>
      </c>
      <c r="CP77" t="s">
        <v>212</v>
      </c>
      <c r="CQ77" t="s">
        <v>212</v>
      </c>
      <c r="CR77" t="s">
        <v>212</v>
      </c>
      <c r="CS77" t="s">
        <v>212</v>
      </c>
      <c r="CY77" t="s">
        <v>212</v>
      </c>
      <c r="DB77" t="s">
        <v>234</v>
      </c>
      <c r="DE77" t="s">
        <v>212</v>
      </c>
      <c r="DF77" t="s">
        <v>212</v>
      </c>
      <c r="DG77" t="s">
        <v>235</v>
      </c>
      <c r="DH77" t="s">
        <v>212</v>
      </c>
      <c r="DJ77" t="s">
        <v>236</v>
      </c>
      <c r="DM77" t="s">
        <v>206</v>
      </c>
    </row>
    <row r="78" spans="1:117" x14ac:dyDescent="0.3">
      <c r="A78">
        <v>15357629</v>
      </c>
      <c r="B78">
        <v>9653561</v>
      </c>
      <c r="C78" t="str">
        <f>"100701000181"</f>
        <v>100701000181</v>
      </c>
      <c r="D78" t="s">
        <v>525</v>
      </c>
      <c r="E78" t="s">
        <v>526</v>
      </c>
      <c r="F78" t="s">
        <v>527</v>
      </c>
      <c r="G78" s="1">
        <v>40360</v>
      </c>
      <c r="I78" t="s">
        <v>240</v>
      </c>
      <c r="J78" t="s">
        <v>528</v>
      </c>
      <c r="K78" t="s">
        <v>529</v>
      </c>
      <c r="L78" t="s">
        <v>212</v>
      </c>
      <c r="R78" t="str">
        <f>"АНДОРРА, АКМОЛИНСКАЯ, СТЕПНОГОРСК, СТЕПНОГОРСК, 51, 209"</f>
        <v>АНДОРРА, АКМОЛИНСКАЯ, СТЕПНОГОРСК, СТЕПНОГОРСК, 51, 209</v>
      </c>
      <c r="S78" t="str">
        <f>"АНДОРРА, АҚМОЛА, СТЕПНОГОР, СТЕПНОГОРСК, 51, 209"</f>
        <v>АНДОРРА, АҚМОЛА, СТЕПНОГОР, СТЕПНОГОРСК, 51, 209</v>
      </c>
      <c r="T78" t="str">
        <f>"СТЕПНОГОРСК, 51, 209"</f>
        <v>СТЕПНОГОРСК, 51, 209</v>
      </c>
      <c r="U78" t="str">
        <f>"СТЕПНОГОРСК, 51, 209"</f>
        <v>СТЕПНОГОРСК, 51, 209</v>
      </c>
      <c r="AC78" t="str">
        <f>"2020-02-11T12:55:00"</f>
        <v>2020-02-11T12:55:00</v>
      </c>
      <c r="AD78" t="str">
        <f>"34"</f>
        <v>34</v>
      </c>
      <c r="AG78" t="s">
        <v>530</v>
      </c>
      <c r="AI78" t="s">
        <v>274</v>
      </c>
      <c r="AJ78" t="s">
        <v>300</v>
      </c>
      <c r="AK78" t="s">
        <v>261</v>
      </c>
      <c r="AL78" t="s">
        <v>206</v>
      </c>
      <c r="AN78" t="s">
        <v>207</v>
      </c>
      <c r="AO78">
        <v>1</v>
      </c>
      <c r="AP78" t="s">
        <v>208</v>
      </c>
      <c r="AQ78" t="s">
        <v>209</v>
      </c>
      <c r="AR78" t="s">
        <v>210</v>
      </c>
      <c r="AW78" t="s">
        <v>206</v>
      </c>
      <c r="AX78" t="s">
        <v>211</v>
      </c>
      <c r="AZ78" t="s">
        <v>209</v>
      </c>
      <c r="BI78" t="s">
        <v>212</v>
      </c>
      <c r="BJ78" t="s">
        <v>213</v>
      </c>
      <c r="BK78" t="s">
        <v>214</v>
      </c>
      <c r="BL78" t="s">
        <v>215</v>
      </c>
      <c r="BN78" t="s">
        <v>247</v>
      </c>
      <c r="BO78" t="s">
        <v>209</v>
      </c>
      <c r="BP78" t="s">
        <v>241</v>
      </c>
      <c r="BQ78">
        <v>3</v>
      </c>
      <c r="BS78" t="s">
        <v>219</v>
      </c>
      <c r="BT78" t="s">
        <v>220</v>
      </c>
      <c r="BU78" t="s">
        <v>206</v>
      </c>
      <c r="BX78" t="s">
        <v>234</v>
      </c>
      <c r="BY78" t="s">
        <v>234</v>
      </c>
      <c r="CA78" t="s">
        <v>222</v>
      </c>
      <c r="CB78" t="s">
        <v>223</v>
      </c>
      <c r="CC78" t="s">
        <v>404</v>
      </c>
      <c r="CD78" t="s">
        <v>223</v>
      </c>
      <c r="CE78" t="s">
        <v>242</v>
      </c>
      <c r="CJ78" t="s">
        <v>206</v>
      </c>
      <c r="CK78" t="s">
        <v>230</v>
      </c>
      <c r="CL78" t="s">
        <v>231</v>
      </c>
      <c r="CM78" t="s">
        <v>232</v>
      </c>
      <c r="CN78" t="s">
        <v>233</v>
      </c>
      <c r="CP78" t="s">
        <v>212</v>
      </c>
      <c r="CQ78" t="s">
        <v>212</v>
      </c>
      <c r="CR78" t="s">
        <v>212</v>
      </c>
      <c r="CS78" t="s">
        <v>212</v>
      </c>
      <c r="CY78" t="s">
        <v>212</v>
      </c>
      <c r="DB78" t="s">
        <v>234</v>
      </c>
      <c r="DE78" t="s">
        <v>212</v>
      </c>
      <c r="DF78" t="s">
        <v>212</v>
      </c>
      <c r="DG78" t="s">
        <v>235</v>
      </c>
      <c r="DH78" t="s">
        <v>212</v>
      </c>
      <c r="DJ78" t="s">
        <v>236</v>
      </c>
      <c r="DM78" t="s">
        <v>212</v>
      </c>
    </row>
    <row r="79" spans="1:117" x14ac:dyDescent="0.3">
      <c r="A79">
        <v>15371654</v>
      </c>
      <c r="B79">
        <v>307133</v>
      </c>
      <c r="C79" t="str">
        <f>"091015550119"</f>
        <v>091015550119</v>
      </c>
      <c r="D79" t="s">
        <v>531</v>
      </c>
      <c r="E79" t="s">
        <v>532</v>
      </c>
      <c r="F79" t="s">
        <v>533</v>
      </c>
      <c r="G79" s="1">
        <v>40101</v>
      </c>
      <c r="I79" t="s">
        <v>240</v>
      </c>
      <c r="J79" t="s">
        <v>200</v>
      </c>
      <c r="K79" t="s">
        <v>260</v>
      </c>
      <c r="R79" t="str">
        <f>"АНДОРРА, АКМОЛИНСКАЯ, СТЕПНОГОРСК, 28, 35"</f>
        <v>АНДОРРА, АКМОЛИНСКАЯ, СТЕПНОГОРСК, 28, 35</v>
      </c>
      <c r="S79" t="str">
        <f>"АНДОРРА, АҚМОЛА, СТЕПНОГОР, 28, 35"</f>
        <v>АНДОРРА, АҚМОЛА, СТЕПНОГОР, 28, 35</v>
      </c>
      <c r="T79" t="str">
        <f>"28, 35"</f>
        <v>28, 35</v>
      </c>
      <c r="U79" t="str">
        <f>"28, 35"</f>
        <v>28, 35</v>
      </c>
      <c r="AC79" t="str">
        <f>"2016-08-29T21:09:00"</f>
        <v>2016-08-29T21:09:00</v>
      </c>
      <c r="AD79" t="str">
        <f>"136"</f>
        <v>136</v>
      </c>
      <c r="AG79" t="s">
        <v>202</v>
      </c>
      <c r="AH79" t="str">
        <f>"ckool007@mail.ru"</f>
        <v>ckool007@mail.ru</v>
      </c>
      <c r="AI79" t="s">
        <v>203</v>
      </c>
      <c r="AJ79" t="s">
        <v>286</v>
      </c>
      <c r="AK79" t="s">
        <v>261</v>
      </c>
      <c r="AL79" t="s">
        <v>206</v>
      </c>
      <c r="AN79" t="s">
        <v>207</v>
      </c>
      <c r="AO79">
        <v>1</v>
      </c>
      <c r="AP79" t="s">
        <v>208</v>
      </c>
      <c r="AQ79" t="s">
        <v>209</v>
      </c>
      <c r="AR79" t="s">
        <v>210</v>
      </c>
      <c r="AW79" t="s">
        <v>206</v>
      </c>
      <c r="AX79" t="s">
        <v>211</v>
      </c>
      <c r="AZ79" t="s">
        <v>209</v>
      </c>
      <c r="BI79" t="s">
        <v>212</v>
      </c>
      <c r="BJ79" t="s">
        <v>213</v>
      </c>
      <c r="BK79" t="s">
        <v>214</v>
      </c>
      <c r="BL79" t="s">
        <v>215</v>
      </c>
      <c r="BN79" t="s">
        <v>247</v>
      </c>
      <c r="BO79" t="s">
        <v>209</v>
      </c>
      <c r="BP79" t="s">
        <v>241</v>
      </c>
      <c r="BQ79">
        <v>3</v>
      </c>
      <c r="BS79" t="s">
        <v>219</v>
      </c>
      <c r="BT79" t="s">
        <v>220</v>
      </c>
      <c r="BU79" t="s">
        <v>206</v>
      </c>
      <c r="BX79" t="s">
        <v>221</v>
      </c>
      <c r="BY79" t="s">
        <v>221</v>
      </c>
      <c r="CA79" t="s">
        <v>287</v>
      </c>
      <c r="CC79" t="s">
        <v>209</v>
      </c>
      <c r="CE79" t="s">
        <v>342</v>
      </c>
      <c r="CF79" t="s">
        <v>226</v>
      </c>
      <c r="CG79" t="s">
        <v>343</v>
      </c>
      <c r="CH79" t="s">
        <v>228</v>
      </c>
      <c r="CI79" t="s">
        <v>534</v>
      </c>
      <c r="CJ79" t="s">
        <v>206</v>
      </c>
      <c r="CK79" t="s">
        <v>230</v>
      </c>
      <c r="CL79" t="s">
        <v>231</v>
      </c>
      <c r="CM79" t="s">
        <v>232</v>
      </c>
      <c r="CN79" t="s">
        <v>233</v>
      </c>
      <c r="CP79" t="s">
        <v>212</v>
      </c>
      <c r="CQ79" t="s">
        <v>212</v>
      </c>
      <c r="CR79" t="s">
        <v>212</v>
      </c>
      <c r="CS79" t="s">
        <v>212</v>
      </c>
      <c r="CY79" t="s">
        <v>212</v>
      </c>
      <c r="DB79" t="s">
        <v>234</v>
      </c>
      <c r="DE79" t="s">
        <v>212</v>
      </c>
      <c r="DF79" t="s">
        <v>212</v>
      </c>
      <c r="DG79" t="s">
        <v>235</v>
      </c>
      <c r="DH79" t="s">
        <v>212</v>
      </c>
      <c r="DJ79" t="s">
        <v>236</v>
      </c>
      <c r="DM79" t="s">
        <v>212</v>
      </c>
    </row>
    <row r="80" spans="1:117" x14ac:dyDescent="0.3">
      <c r="A80">
        <v>15513995</v>
      </c>
      <c r="B80">
        <v>837862</v>
      </c>
      <c r="C80" t="str">
        <f>"130828604406"</f>
        <v>130828604406</v>
      </c>
      <c r="D80" t="s">
        <v>535</v>
      </c>
      <c r="E80" t="s">
        <v>351</v>
      </c>
      <c r="F80" t="s">
        <v>305</v>
      </c>
      <c r="G80" s="1">
        <v>41514</v>
      </c>
      <c r="I80" t="s">
        <v>199</v>
      </c>
      <c r="J80" t="s">
        <v>200</v>
      </c>
      <c r="K80" t="s">
        <v>260</v>
      </c>
      <c r="Q80" t="s">
        <v>212</v>
      </c>
      <c r="R80" t="str">
        <f>"КАЗАХСТАН, АКМОЛИНСКАЯ, СТЕПНОГОРСК, 86, 95"</f>
        <v>КАЗАХСТАН, АКМОЛИНСКАЯ, СТЕПНОГОРСК, 86, 95</v>
      </c>
      <c r="S80" t="str">
        <f>"ҚАЗАҚСТАН, АҚМОЛА, СТЕПНОГОР, 86, 95"</f>
        <v>ҚАЗАҚСТАН, АҚМОЛА, СТЕПНОГОР, 86, 95</v>
      </c>
      <c r="T80" t="str">
        <f>"86, 95"</f>
        <v>86, 95</v>
      </c>
      <c r="U80" t="str">
        <f>"86, 95"</f>
        <v>86, 95</v>
      </c>
      <c r="AC80" t="str">
        <f>"2020-08-05T23:28:00"</f>
        <v>2020-08-05T23:28:00</v>
      </c>
      <c r="AD80" t="str">
        <f>"120"</f>
        <v>120</v>
      </c>
      <c r="AG80" t="s">
        <v>202</v>
      </c>
      <c r="AI80" t="s">
        <v>203</v>
      </c>
      <c r="AJ80" t="s">
        <v>501</v>
      </c>
      <c r="AK80" t="s">
        <v>205</v>
      </c>
      <c r="AL80" t="s">
        <v>206</v>
      </c>
      <c r="AN80" t="s">
        <v>207</v>
      </c>
      <c r="AO80">
        <v>1</v>
      </c>
      <c r="AP80" t="s">
        <v>208</v>
      </c>
      <c r="AQ80" t="s">
        <v>209</v>
      </c>
      <c r="AR80" t="s">
        <v>502</v>
      </c>
      <c r="AW80" t="s">
        <v>212</v>
      </c>
      <c r="AZ80" t="s">
        <v>209</v>
      </c>
      <c r="BI80" t="s">
        <v>212</v>
      </c>
      <c r="BJ80" t="s">
        <v>213</v>
      </c>
      <c r="BK80" t="s">
        <v>214</v>
      </c>
      <c r="BL80" t="s">
        <v>357</v>
      </c>
      <c r="BN80" t="s">
        <v>281</v>
      </c>
      <c r="BO80" t="s">
        <v>209</v>
      </c>
      <c r="BP80" t="s">
        <v>415</v>
      </c>
      <c r="BQ80" t="s">
        <v>493</v>
      </c>
      <c r="BS80" t="s">
        <v>219</v>
      </c>
      <c r="BT80" t="s">
        <v>220</v>
      </c>
      <c r="BU80" t="s">
        <v>206</v>
      </c>
      <c r="BX80" t="s">
        <v>221</v>
      </c>
      <c r="BY80" t="s">
        <v>221</v>
      </c>
      <c r="BZ80" t="s">
        <v>503</v>
      </c>
      <c r="CA80" t="s">
        <v>287</v>
      </c>
      <c r="CC80" t="s">
        <v>222</v>
      </c>
      <c r="CD80" t="s">
        <v>223</v>
      </c>
      <c r="CE80" t="s">
        <v>242</v>
      </c>
      <c r="CJ80" t="s">
        <v>206</v>
      </c>
      <c r="CK80" t="s">
        <v>230</v>
      </c>
      <c r="CL80" t="s">
        <v>231</v>
      </c>
      <c r="CM80" t="s">
        <v>232</v>
      </c>
      <c r="CN80" t="s">
        <v>233</v>
      </c>
      <c r="CP80" t="s">
        <v>212</v>
      </c>
      <c r="CQ80" t="s">
        <v>212</v>
      </c>
      <c r="CR80" t="s">
        <v>212</v>
      </c>
      <c r="CS80" t="s">
        <v>212</v>
      </c>
      <c r="CY80" t="s">
        <v>212</v>
      </c>
      <c r="DB80" t="s">
        <v>234</v>
      </c>
      <c r="DE80" t="s">
        <v>212</v>
      </c>
      <c r="DF80" t="s">
        <v>212</v>
      </c>
      <c r="DG80" t="s">
        <v>235</v>
      </c>
      <c r="DH80" t="s">
        <v>212</v>
      </c>
      <c r="DJ80" t="s">
        <v>236</v>
      </c>
      <c r="DM80" t="s">
        <v>212</v>
      </c>
    </row>
    <row r="81" spans="1:184" x14ac:dyDescent="0.3">
      <c r="A81">
        <v>15738141</v>
      </c>
      <c r="B81">
        <v>175442</v>
      </c>
      <c r="C81" t="str">
        <f>"090606652344"</f>
        <v>090606652344</v>
      </c>
      <c r="D81" t="s">
        <v>536</v>
      </c>
      <c r="E81" t="s">
        <v>279</v>
      </c>
      <c r="F81" t="s">
        <v>368</v>
      </c>
      <c r="G81" s="1">
        <v>39970</v>
      </c>
      <c r="I81" t="s">
        <v>199</v>
      </c>
      <c r="J81" t="s">
        <v>200</v>
      </c>
      <c r="K81" t="s">
        <v>201</v>
      </c>
      <c r="R81" t="str">
        <f>"АНДОРРА, АКМОЛИНСКАЯ, СТЕПНОГОРСК, 6"</f>
        <v>АНДОРРА, АКМОЛИНСКАЯ, СТЕПНОГОРСК, 6</v>
      </c>
      <c r="S81" t="str">
        <f>"АНДОРРА, АҚМОЛА, СТЕПНОГОР, 6"</f>
        <v>АНДОРРА, АҚМОЛА, СТЕПНОГОР, 6</v>
      </c>
      <c r="T81" t="str">
        <f>"6"</f>
        <v>6</v>
      </c>
      <c r="U81" t="str">
        <f>"6"</f>
        <v>6</v>
      </c>
      <c r="AC81" t="str">
        <f>"2020-08-13T06:22:00"</f>
        <v>2020-08-13T06:22:00</v>
      </c>
      <c r="AD81" t="str">
        <f>"132"</f>
        <v>132</v>
      </c>
      <c r="AE81" t="str">
        <f>"2023-09-01T17:33:53"</f>
        <v>2023-09-01T17:33:53</v>
      </c>
      <c r="AF81" t="str">
        <f>"2024-05-25T17:33:53"</f>
        <v>2024-05-25T17:33:53</v>
      </c>
      <c r="AG81" t="s">
        <v>333</v>
      </c>
      <c r="AH81" t="str">
        <f>"ckool007@mail.ru"</f>
        <v>ckool007@mail.ru</v>
      </c>
      <c r="AI81" t="s">
        <v>274</v>
      </c>
      <c r="AJ81" t="s">
        <v>286</v>
      </c>
      <c r="AK81" t="s">
        <v>246</v>
      </c>
      <c r="AL81" t="s">
        <v>206</v>
      </c>
      <c r="AN81" t="s">
        <v>207</v>
      </c>
      <c r="AO81">
        <v>1</v>
      </c>
      <c r="AP81" t="s">
        <v>208</v>
      </c>
      <c r="AQ81" t="s">
        <v>209</v>
      </c>
      <c r="AR81" t="s">
        <v>210</v>
      </c>
      <c r="AW81" t="s">
        <v>206</v>
      </c>
      <c r="AX81" t="s">
        <v>211</v>
      </c>
      <c r="AZ81" t="s">
        <v>209</v>
      </c>
      <c r="BI81" t="s">
        <v>212</v>
      </c>
      <c r="BJ81" t="s">
        <v>213</v>
      </c>
      <c r="BK81" t="s">
        <v>214</v>
      </c>
      <c r="BL81" t="s">
        <v>357</v>
      </c>
      <c r="BN81" t="s">
        <v>247</v>
      </c>
      <c r="BO81" t="s">
        <v>209</v>
      </c>
      <c r="BP81" t="s">
        <v>241</v>
      </c>
      <c r="BQ81">
        <v>3</v>
      </c>
      <c r="BS81" t="s">
        <v>219</v>
      </c>
      <c r="BT81" t="s">
        <v>220</v>
      </c>
      <c r="BU81" t="s">
        <v>206</v>
      </c>
      <c r="BX81" t="s">
        <v>221</v>
      </c>
      <c r="BY81" t="s">
        <v>221</v>
      </c>
      <c r="CA81" t="s">
        <v>287</v>
      </c>
      <c r="CC81" t="s">
        <v>209</v>
      </c>
      <c r="CE81" t="s">
        <v>242</v>
      </c>
      <c r="CJ81" t="s">
        <v>206</v>
      </c>
      <c r="CK81" t="s">
        <v>291</v>
      </c>
      <c r="CM81" t="s">
        <v>292</v>
      </c>
      <c r="CN81" t="s">
        <v>233</v>
      </c>
      <c r="CP81" t="s">
        <v>212</v>
      </c>
      <c r="CQ81" t="s">
        <v>212</v>
      </c>
      <c r="CR81" t="s">
        <v>212</v>
      </c>
      <c r="CS81" t="s">
        <v>212</v>
      </c>
      <c r="CY81" t="s">
        <v>212</v>
      </c>
      <c r="DB81" t="s">
        <v>234</v>
      </c>
      <c r="DE81" t="s">
        <v>212</v>
      </c>
      <c r="DF81" t="s">
        <v>212</v>
      </c>
      <c r="DG81" t="s">
        <v>235</v>
      </c>
      <c r="DH81" t="s">
        <v>212</v>
      </c>
      <c r="DJ81" t="s">
        <v>421</v>
      </c>
      <c r="DK81" t="s">
        <v>422</v>
      </c>
      <c r="DL81" t="s">
        <v>423</v>
      </c>
      <c r="DM81" t="s">
        <v>206</v>
      </c>
    </row>
    <row r="82" spans="1:184" x14ac:dyDescent="0.3">
      <c r="A82">
        <v>15759955</v>
      </c>
      <c r="B82">
        <v>826460</v>
      </c>
      <c r="C82" t="str">
        <f>"131217504123"</f>
        <v>131217504123</v>
      </c>
      <c r="D82" t="s">
        <v>537</v>
      </c>
      <c r="E82" t="s">
        <v>538</v>
      </c>
      <c r="F82" t="s">
        <v>539</v>
      </c>
      <c r="G82" s="1">
        <v>41625</v>
      </c>
      <c r="I82" t="s">
        <v>240</v>
      </c>
      <c r="J82" t="s">
        <v>200</v>
      </c>
      <c r="K82" t="s">
        <v>469</v>
      </c>
      <c r="R82" t="str">
        <f>"КАЗАХСТАН, АКМОЛИНСКАЯ, СТЕПНОГОРСК, 15, 65"</f>
        <v>КАЗАХСТАН, АКМОЛИНСКАЯ, СТЕПНОГОРСК, 15, 65</v>
      </c>
      <c r="S82" t="str">
        <f>"ҚАЗАҚСТАН, АҚМОЛА, СТЕПНОГОР, 15, 65"</f>
        <v>ҚАЗАҚСТАН, АҚМОЛА, СТЕПНОГОР, 15, 65</v>
      </c>
      <c r="T82" t="str">
        <f>"15, 65"</f>
        <v>15, 65</v>
      </c>
      <c r="U82" t="str">
        <f>"15, 65"</f>
        <v>15, 65</v>
      </c>
      <c r="AC82" t="str">
        <f>"2020-08-25T00:00:00"</f>
        <v>2020-08-25T00:00:00</v>
      </c>
      <c r="AD82" t="str">
        <f>"145"</f>
        <v>145</v>
      </c>
      <c r="AG82" t="s">
        <v>202</v>
      </c>
      <c r="AI82" t="s">
        <v>203</v>
      </c>
      <c r="AJ82" t="s">
        <v>540</v>
      </c>
      <c r="AK82" t="s">
        <v>261</v>
      </c>
      <c r="AL82" t="s">
        <v>206</v>
      </c>
      <c r="AN82" t="s">
        <v>207</v>
      </c>
      <c r="AO82">
        <v>2</v>
      </c>
      <c r="AP82" t="s">
        <v>208</v>
      </c>
      <c r="AQ82" t="s">
        <v>209</v>
      </c>
      <c r="AR82" t="s">
        <v>502</v>
      </c>
      <c r="AW82" t="s">
        <v>212</v>
      </c>
      <c r="AZ82" t="s">
        <v>209</v>
      </c>
      <c r="BI82" t="s">
        <v>212</v>
      </c>
      <c r="BJ82" t="s">
        <v>213</v>
      </c>
      <c r="BK82" t="s">
        <v>214</v>
      </c>
      <c r="BL82" t="s">
        <v>357</v>
      </c>
      <c r="BN82" t="s">
        <v>247</v>
      </c>
      <c r="BO82" t="s">
        <v>209</v>
      </c>
      <c r="BP82" t="s">
        <v>241</v>
      </c>
      <c r="BQ82">
        <v>3</v>
      </c>
      <c r="BS82" t="s">
        <v>219</v>
      </c>
      <c r="BT82" t="s">
        <v>220</v>
      </c>
      <c r="BU82" t="s">
        <v>206</v>
      </c>
      <c r="BX82" t="s">
        <v>234</v>
      </c>
      <c r="BY82" t="s">
        <v>234</v>
      </c>
      <c r="BZ82" t="s">
        <v>541</v>
      </c>
      <c r="CA82" t="s">
        <v>287</v>
      </c>
      <c r="CC82" t="s">
        <v>222</v>
      </c>
      <c r="CD82" t="s">
        <v>223</v>
      </c>
      <c r="CE82" t="s">
        <v>242</v>
      </c>
      <c r="CJ82" t="s">
        <v>206</v>
      </c>
      <c r="CK82" t="s">
        <v>230</v>
      </c>
      <c r="CL82" t="s">
        <v>231</v>
      </c>
      <c r="CM82" t="s">
        <v>232</v>
      </c>
      <c r="CN82" t="s">
        <v>233</v>
      </c>
      <c r="CP82" t="s">
        <v>212</v>
      </c>
      <c r="CQ82" t="s">
        <v>212</v>
      </c>
      <c r="CR82" t="s">
        <v>212</v>
      </c>
      <c r="CS82" t="s">
        <v>212</v>
      </c>
      <c r="CY82" t="s">
        <v>212</v>
      </c>
      <c r="DB82" t="s">
        <v>234</v>
      </c>
      <c r="DE82" t="s">
        <v>212</v>
      </c>
      <c r="DF82" t="s">
        <v>212</v>
      </c>
      <c r="DG82" t="s">
        <v>235</v>
      </c>
      <c r="DH82" t="s">
        <v>212</v>
      </c>
      <c r="DJ82" t="s">
        <v>236</v>
      </c>
      <c r="DM82" t="s">
        <v>212</v>
      </c>
      <c r="GB82" t="s">
        <v>206</v>
      </c>
    </row>
    <row r="83" spans="1:184" x14ac:dyDescent="0.3">
      <c r="A83">
        <v>15760288</v>
      </c>
      <c r="B83">
        <v>9758690</v>
      </c>
      <c r="C83" t="str">
        <f>"140517505786"</f>
        <v>140517505786</v>
      </c>
      <c r="D83" t="s">
        <v>542</v>
      </c>
      <c r="E83" t="s">
        <v>543</v>
      </c>
      <c r="F83" t="s">
        <v>544</v>
      </c>
      <c r="G83" s="1">
        <v>41776</v>
      </c>
      <c r="I83" t="s">
        <v>240</v>
      </c>
      <c r="J83" t="s">
        <v>200</v>
      </c>
      <c r="K83" t="s">
        <v>545</v>
      </c>
      <c r="R83" t="str">
        <f>"КАЗАХСТАН, АКМОЛИНСКАЯ, СТЕПНОГОРСК, СТЕПНОГОРСК, 15, 11"</f>
        <v>КАЗАХСТАН, АКМОЛИНСКАЯ, СТЕПНОГОРСК, СТЕПНОГОРСК, 15, 11</v>
      </c>
      <c r="S83" t="str">
        <f>"ҚАЗАҚСТАН, АҚМОЛА, СТЕПНОГОР, СТЕПНОГОРСК, 15, 11"</f>
        <v>ҚАЗАҚСТАН, АҚМОЛА, СТЕПНОГОР, СТЕПНОГОРСК, 15, 11</v>
      </c>
      <c r="T83" t="str">
        <f>"СТЕПНОГОРСК, 15, 11"</f>
        <v>СТЕПНОГОРСК, 15, 11</v>
      </c>
      <c r="U83" t="str">
        <f>"СТЕПНОГОРСК, 15, 11"</f>
        <v>СТЕПНОГОРСК, 15, 11</v>
      </c>
      <c r="AC83" t="str">
        <f>"2020-08-25T00:00:00"</f>
        <v>2020-08-25T00:00:00</v>
      </c>
      <c r="AD83" t="str">
        <f>"145"</f>
        <v>145</v>
      </c>
      <c r="AG83" t="s">
        <v>202</v>
      </c>
      <c r="AI83" t="s">
        <v>203</v>
      </c>
      <c r="AJ83" t="s">
        <v>540</v>
      </c>
      <c r="AK83" t="s">
        <v>246</v>
      </c>
      <c r="AL83" t="s">
        <v>206</v>
      </c>
      <c r="AN83" t="s">
        <v>207</v>
      </c>
      <c r="AO83">
        <v>2</v>
      </c>
      <c r="AP83" t="s">
        <v>208</v>
      </c>
      <c r="AQ83" t="s">
        <v>209</v>
      </c>
      <c r="AR83" t="s">
        <v>502</v>
      </c>
      <c r="AW83" t="s">
        <v>212</v>
      </c>
      <c r="AZ83" t="s">
        <v>209</v>
      </c>
      <c r="BI83" t="s">
        <v>212</v>
      </c>
      <c r="BJ83" t="s">
        <v>213</v>
      </c>
      <c r="BK83" t="s">
        <v>214</v>
      </c>
      <c r="BL83" t="s">
        <v>357</v>
      </c>
      <c r="BN83" t="s">
        <v>247</v>
      </c>
      <c r="BO83" t="s">
        <v>209</v>
      </c>
      <c r="BP83" t="s">
        <v>241</v>
      </c>
      <c r="BQ83">
        <v>3</v>
      </c>
      <c r="BS83" t="s">
        <v>219</v>
      </c>
      <c r="BT83" t="s">
        <v>220</v>
      </c>
      <c r="BU83" t="s">
        <v>206</v>
      </c>
      <c r="BX83" t="s">
        <v>234</v>
      </c>
      <c r="BY83" t="s">
        <v>234</v>
      </c>
      <c r="BZ83" t="s">
        <v>541</v>
      </c>
      <c r="CA83" t="s">
        <v>287</v>
      </c>
      <c r="CC83" t="s">
        <v>222</v>
      </c>
      <c r="CD83" t="s">
        <v>223</v>
      </c>
      <c r="CE83" t="s">
        <v>242</v>
      </c>
      <c r="CJ83" t="s">
        <v>206</v>
      </c>
      <c r="CK83" t="s">
        <v>230</v>
      </c>
      <c r="CL83" t="s">
        <v>231</v>
      </c>
      <c r="CM83" t="s">
        <v>232</v>
      </c>
      <c r="CN83" t="s">
        <v>233</v>
      </c>
      <c r="CP83" t="s">
        <v>212</v>
      </c>
      <c r="CQ83" t="s">
        <v>212</v>
      </c>
      <c r="CR83" t="s">
        <v>212</v>
      </c>
      <c r="CS83" t="s">
        <v>212</v>
      </c>
      <c r="CY83" t="s">
        <v>212</v>
      </c>
      <c r="DB83" t="s">
        <v>234</v>
      </c>
      <c r="DE83" t="s">
        <v>212</v>
      </c>
      <c r="DF83" t="s">
        <v>212</v>
      </c>
      <c r="DG83" t="s">
        <v>235</v>
      </c>
      <c r="DH83" t="s">
        <v>212</v>
      </c>
      <c r="DJ83" t="s">
        <v>236</v>
      </c>
      <c r="DM83" t="s">
        <v>212</v>
      </c>
      <c r="GB83" t="s">
        <v>206</v>
      </c>
    </row>
    <row r="84" spans="1:184" x14ac:dyDescent="0.3">
      <c r="A84">
        <v>15760960</v>
      </c>
      <c r="B84">
        <v>9758951</v>
      </c>
      <c r="C84" t="str">
        <f>"140501504770"</f>
        <v>140501504770</v>
      </c>
      <c r="D84" t="s">
        <v>546</v>
      </c>
      <c r="E84" t="s">
        <v>425</v>
      </c>
      <c r="F84" t="s">
        <v>239</v>
      </c>
      <c r="G84" s="1">
        <v>41760</v>
      </c>
      <c r="I84" t="s">
        <v>240</v>
      </c>
      <c r="J84" t="s">
        <v>200</v>
      </c>
      <c r="K84" t="s">
        <v>201</v>
      </c>
      <c r="R84" t="str">
        <f>"КАЗАХСТАН, АКМОЛИНСКАЯ, СТЕПНОГОРСК, 33, 49"</f>
        <v>КАЗАХСТАН, АКМОЛИНСКАЯ, СТЕПНОГОРСК, 33, 49</v>
      </c>
      <c r="S84" t="str">
        <f>"ҚАЗАҚСТАН, АҚМОЛА, СТЕПНОГОР, 33, 49"</f>
        <v>ҚАЗАҚСТАН, АҚМОЛА, СТЕПНОГОР, 33, 49</v>
      </c>
      <c r="T84" t="str">
        <f>"33, 49"</f>
        <v>33, 49</v>
      </c>
      <c r="U84" t="str">
        <f>"33, 49"</f>
        <v>33, 49</v>
      </c>
      <c r="AC84" t="str">
        <f>"2020-08-25T00:00:00"</f>
        <v>2020-08-25T00:00:00</v>
      </c>
      <c r="AD84" t="str">
        <f>"145"</f>
        <v>145</v>
      </c>
      <c r="AE84" t="str">
        <f>"2023-09-01T17:09:57"</f>
        <v>2023-09-01T17:09:57</v>
      </c>
      <c r="AF84" t="str">
        <f>"2024-05-25T17:09:57"</f>
        <v>2024-05-25T17:09:57</v>
      </c>
      <c r="AG84" t="s">
        <v>202</v>
      </c>
      <c r="AI84" t="s">
        <v>203</v>
      </c>
      <c r="AJ84" t="s">
        <v>540</v>
      </c>
      <c r="AK84" t="s">
        <v>246</v>
      </c>
      <c r="AL84" t="s">
        <v>206</v>
      </c>
      <c r="AN84" t="s">
        <v>207</v>
      </c>
      <c r="AO84">
        <v>2</v>
      </c>
      <c r="AP84" t="s">
        <v>208</v>
      </c>
      <c r="AQ84" t="s">
        <v>209</v>
      </c>
      <c r="AR84" t="s">
        <v>210</v>
      </c>
      <c r="AW84" t="s">
        <v>206</v>
      </c>
      <c r="AX84" t="s">
        <v>211</v>
      </c>
      <c r="AZ84" t="s">
        <v>209</v>
      </c>
      <c r="BI84" t="s">
        <v>212</v>
      </c>
      <c r="BJ84" t="s">
        <v>213</v>
      </c>
      <c r="BK84" t="s">
        <v>214</v>
      </c>
      <c r="BL84" t="s">
        <v>357</v>
      </c>
      <c r="BN84" t="s">
        <v>216</v>
      </c>
      <c r="BO84" t="s">
        <v>209</v>
      </c>
      <c r="BP84" t="s">
        <v>241</v>
      </c>
      <c r="BQ84">
        <v>4</v>
      </c>
      <c r="BS84" t="s">
        <v>219</v>
      </c>
      <c r="BT84" t="s">
        <v>220</v>
      </c>
      <c r="BU84" t="s">
        <v>206</v>
      </c>
      <c r="BX84" t="s">
        <v>221</v>
      </c>
      <c r="BY84" t="s">
        <v>221</v>
      </c>
      <c r="BZ84" t="s">
        <v>541</v>
      </c>
      <c r="CA84" t="s">
        <v>287</v>
      </c>
      <c r="CC84" t="s">
        <v>222</v>
      </c>
      <c r="CD84" t="s">
        <v>223</v>
      </c>
      <c r="CE84" t="s">
        <v>242</v>
      </c>
      <c r="CJ84" t="s">
        <v>206</v>
      </c>
      <c r="CK84" t="s">
        <v>230</v>
      </c>
      <c r="CL84" t="s">
        <v>231</v>
      </c>
      <c r="CM84" t="s">
        <v>232</v>
      </c>
      <c r="CN84" t="s">
        <v>233</v>
      </c>
      <c r="CP84" t="s">
        <v>212</v>
      </c>
      <c r="CQ84" t="s">
        <v>212</v>
      </c>
      <c r="CR84" t="s">
        <v>212</v>
      </c>
      <c r="CS84" t="s">
        <v>212</v>
      </c>
      <c r="CY84" t="s">
        <v>212</v>
      </c>
      <c r="DB84" t="s">
        <v>234</v>
      </c>
      <c r="DE84" t="s">
        <v>212</v>
      </c>
      <c r="DF84" t="s">
        <v>212</v>
      </c>
      <c r="DG84" t="s">
        <v>235</v>
      </c>
      <c r="DH84" t="s">
        <v>212</v>
      </c>
      <c r="DJ84" t="s">
        <v>421</v>
      </c>
      <c r="DK84" t="s">
        <v>422</v>
      </c>
      <c r="DL84" t="s">
        <v>423</v>
      </c>
      <c r="DM84" t="s">
        <v>206</v>
      </c>
      <c r="GB84" t="s">
        <v>206</v>
      </c>
    </row>
    <row r="85" spans="1:184" x14ac:dyDescent="0.3">
      <c r="A85">
        <v>15963540</v>
      </c>
      <c r="B85">
        <v>839735</v>
      </c>
      <c r="C85" t="str">
        <f>"140301500423"</f>
        <v>140301500423</v>
      </c>
      <c r="D85" t="s">
        <v>547</v>
      </c>
      <c r="E85" t="s">
        <v>548</v>
      </c>
      <c r="F85" t="s">
        <v>239</v>
      </c>
      <c r="G85" s="1">
        <v>41699</v>
      </c>
      <c r="I85" t="s">
        <v>240</v>
      </c>
      <c r="J85" t="s">
        <v>200</v>
      </c>
      <c r="K85" t="s">
        <v>201</v>
      </c>
      <c r="Q85" t="s">
        <v>212</v>
      </c>
      <c r="R85" t="str">
        <f>"КАЗАХСТАН, АКМОЛИНСКАЯ, СТЕПНОГОРСК, 87, 26"</f>
        <v>КАЗАХСТАН, АКМОЛИНСКАЯ, СТЕПНОГОРСК, 87, 26</v>
      </c>
      <c r="S85" t="str">
        <f>"ҚАЗАҚСТАН, АҚМОЛА, СТЕПНОГОР, 87, 26"</f>
        <v>ҚАЗАҚСТАН, АҚМОЛА, СТЕПНОГОР, 87, 26</v>
      </c>
      <c r="T85" t="str">
        <f>"87, 26"</f>
        <v>87, 26</v>
      </c>
      <c r="U85" t="str">
        <f>"87, 26"</f>
        <v>87, 26</v>
      </c>
      <c r="AC85" t="str">
        <f>"2020-07-22T20:47:00"</f>
        <v>2020-07-22T20:47:00</v>
      </c>
      <c r="AD85" t="str">
        <f>"116"</f>
        <v>116</v>
      </c>
      <c r="AE85" t="str">
        <f>"2023-09-01T23:41:49"</f>
        <v>2023-09-01T23:41:49</v>
      </c>
      <c r="AF85" t="str">
        <f>"2024-05-25T23:41:49"</f>
        <v>2024-05-25T23:41:49</v>
      </c>
      <c r="AG85" t="s">
        <v>202</v>
      </c>
      <c r="AI85" t="s">
        <v>203</v>
      </c>
      <c r="AJ85" t="s">
        <v>501</v>
      </c>
      <c r="AK85" t="s">
        <v>261</v>
      </c>
      <c r="AL85" t="s">
        <v>206</v>
      </c>
      <c r="AN85" t="s">
        <v>207</v>
      </c>
      <c r="AO85">
        <v>1</v>
      </c>
      <c r="AP85" t="s">
        <v>208</v>
      </c>
      <c r="AQ85" t="s">
        <v>209</v>
      </c>
      <c r="AR85" t="s">
        <v>502</v>
      </c>
      <c r="AW85" t="s">
        <v>212</v>
      </c>
      <c r="AZ85" t="s">
        <v>209</v>
      </c>
      <c r="BI85" t="s">
        <v>212</v>
      </c>
      <c r="BJ85" t="s">
        <v>213</v>
      </c>
      <c r="BK85" t="s">
        <v>214</v>
      </c>
      <c r="BL85" t="s">
        <v>357</v>
      </c>
      <c r="BN85" t="s">
        <v>216</v>
      </c>
      <c r="BO85" t="s">
        <v>209</v>
      </c>
      <c r="BP85" t="s">
        <v>241</v>
      </c>
      <c r="BQ85">
        <v>4</v>
      </c>
      <c r="BS85" t="s">
        <v>219</v>
      </c>
      <c r="BT85" t="s">
        <v>220</v>
      </c>
      <c r="BU85" t="s">
        <v>206</v>
      </c>
      <c r="BX85" t="s">
        <v>221</v>
      </c>
      <c r="BY85" t="s">
        <v>221</v>
      </c>
      <c r="BZ85" t="s">
        <v>503</v>
      </c>
      <c r="CA85" t="s">
        <v>287</v>
      </c>
      <c r="CC85" t="s">
        <v>222</v>
      </c>
      <c r="CD85" t="s">
        <v>223</v>
      </c>
      <c r="CE85" t="s">
        <v>242</v>
      </c>
      <c r="CJ85" t="s">
        <v>206</v>
      </c>
      <c r="CK85" t="s">
        <v>230</v>
      </c>
      <c r="CL85" t="s">
        <v>231</v>
      </c>
      <c r="CM85" t="s">
        <v>232</v>
      </c>
      <c r="CN85" t="s">
        <v>233</v>
      </c>
      <c r="CP85" t="s">
        <v>212</v>
      </c>
      <c r="CQ85" t="s">
        <v>212</v>
      </c>
      <c r="CR85" t="s">
        <v>212</v>
      </c>
      <c r="CS85" t="s">
        <v>212</v>
      </c>
      <c r="CY85" t="s">
        <v>212</v>
      </c>
      <c r="DB85" t="s">
        <v>234</v>
      </c>
      <c r="DE85" t="s">
        <v>212</v>
      </c>
      <c r="DF85" t="s">
        <v>206</v>
      </c>
      <c r="DG85" t="s">
        <v>235</v>
      </c>
      <c r="DH85" t="s">
        <v>212</v>
      </c>
      <c r="DJ85" t="s">
        <v>236</v>
      </c>
      <c r="DM85" t="s">
        <v>212</v>
      </c>
    </row>
    <row r="86" spans="1:184" x14ac:dyDescent="0.3">
      <c r="A86">
        <v>15980461</v>
      </c>
      <c r="B86">
        <v>767698</v>
      </c>
      <c r="C86" t="str">
        <f>"140112600591"</f>
        <v>140112600591</v>
      </c>
      <c r="D86" t="s">
        <v>549</v>
      </c>
      <c r="E86" t="s">
        <v>550</v>
      </c>
      <c r="F86" t="s">
        <v>551</v>
      </c>
      <c r="G86" s="1">
        <v>41651</v>
      </c>
      <c r="I86" t="s">
        <v>199</v>
      </c>
      <c r="J86" t="s">
        <v>200</v>
      </c>
      <c r="K86" t="s">
        <v>201</v>
      </c>
      <c r="Q86" t="s">
        <v>212</v>
      </c>
      <c r="R86" t="str">
        <f>"КАЗАХСТАН, АКМОЛИНСКАЯ, СТЕПНОГОРСК, КЕНТI Аксу, 10, 1"</f>
        <v>КАЗАХСТАН, АКМОЛИНСКАЯ, СТЕПНОГОРСК, КЕНТI Аксу, 10, 1</v>
      </c>
      <c r="S86" t="str">
        <f>"ҚАЗАҚСТАН, АҚМОЛА, СТЕПНОГОР, КЕНТI Аксу, 10, 1"</f>
        <v>ҚАЗАҚСТАН, АҚМОЛА, СТЕПНОГОР, КЕНТI Аксу, 10, 1</v>
      </c>
      <c r="T86" t="str">
        <f>"КЕНТI Аксу, 10, 1"</f>
        <v>КЕНТI Аксу, 10, 1</v>
      </c>
      <c r="U86" t="str">
        <f>"КЕНТI Аксу, 10, 1"</f>
        <v>КЕНТI Аксу, 10, 1</v>
      </c>
      <c r="AC86" t="str">
        <f>"2020-06-11T12:57:00"</f>
        <v>2020-06-11T12:57:00</v>
      </c>
      <c r="AD86" t="str">
        <f>"92"</f>
        <v>92</v>
      </c>
      <c r="AG86" t="s">
        <v>202</v>
      </c>
      <c r="AI86" t="s">
        <v>203</v>
      </c>
      <c r="AJ86" t="s">
        <v>540</v>
      </c>
      <c r="AK86" t="s">
        <v>205</v>
      </c>
      <c r="AL86" t="s">
        <v>206</v>
      </c>
      <c r="AN86" t="s">
        <v>207</v>
      </c>
      <c r="AO86">
        <v>2</v>
      </c>
      <c r="AP86" t="s">
        <v>208</v>
      </c>
      <c r="AQ86" t="s">
        <v>209</v>
      </c>
      <c r="AR86" t="s">
        <v>502</v>
      </c>
      <c r="AW86" t="s">
        <v>212</v>
      </c>
      <c r="AZ86" t="s">
        <v>209</v>
      </c>
      <c r="BI86" t="s">
        <v>212</v>
      </c>
      <c r="BJ86" t="s">
        <v>213</v>
      </c>
      <c r="BK86" t="s">
        <v>214</v>
      </c>
      <c r="BL86" t="s">
        <v>357</v>
      </c>
      <c r="BN86" t="s">
        <v>216</v>
      </c>
      <c r="BO86" t="s">
        <v>209</v>
      </c>
      <c r="BP86" t="s">
        <v>241</v>
      </c>
      <c r="BQ86">
        <v>4</v>
      </c>
      <c r="BS86" t="s">
        <v>219</v>
      </c>
      <c r="BT86" t="s">
        <v>220</v>
      </c>
      <c r="BU86" t="s">
        <v>206</v>
      </c>
      <c r="BX86" t="s">
        <v>221</v>
      </c>
      <c r="BY86" t="s">
        <v>221</v>
      </c>
      <c r="BZ86">
        <v>0</v>
      </c>
      <c r="CA86" t="s">
        <v>287</v>
      </c>
      <c r="CC86" t="s">
        <v>222</v>
      </c>
      <c r="CD86" t="s">
        <v>223</v>
      </c>
      <c r="CE86" t="s">
        <v>242</v>
      </c>
      <c r="CJ86" t="s">
        <v>206</v>
      </c>
      <c r="CK86" t="s">
        <v>230</v>
      </c>
      <c r="CL86" t="s">
        <v>231</v>
      </c>
      <c r="CM86" t="s">
        <v>232</v>
      </c>
      <c r="CN86" t="s">
        <v>233</v>
      </c>
      <c r="CP86" t="s">
        <v>212</v>
      </c>
      <c r="CQ86" t="s">
        <v>212</v>
      </c>
      <c r="CR86" t="s">
        <v>212</v>
      </c>
      <c r="CS86" t="s">
        <v>212</v>
      </c>
      <c r="CY86" t="s">
        <v>212</v>
      </c>
      <c r="DB86" t="s">
        <v>234</v>
      </c>
      <c r="DE86" t="s">
        <v>212</v>
      </c>
      <c r="DF86" t="s">
        <v>212</v>
      </c>
      <c r="DG86" t="s">
        <v>235</v>
      </c>
      <c r="DH86" t="s">
        <v>212</v>
      </c>
      <c r="DJ86" t="s">
        <v>236</v>
      </c>
      <c r="DM86" t="s">
        <v>212</v>
      </c>
    </row>
    <row r="87" spans="1:184" x14ac:dyDescent="0.3">
      <c r="A87">
        <v>15980579</v>
      </c>
      <c r="B87">
        <v>767813</v>
      </c>
      <c r="C87" t="str">
        <f>"140112500614"</f>
        <v>140112500614</v>
      </c>
      <c r="D87" t="s">
        <v>275</v>
      </c>
      <c r="E87" t="s">
        <v>552</v>
      </c>
      <c r="F87" t="s">
        <v>277</v>
      </c>
      <c r="G87" s="1">
        <v>41651</v>
      </c>
      <c r="I87" t="s">
        <v>240</v>
      </c>
      <c r="J87" t="s">
        <v>200</v>
      </c>
      <c r="K87" t="s">
        <v>201</v>
      </c>
      <c r="R87" t="str">
        <f>"КАЗАХСТАН, АКМОЛИНСКАЯ, СТЕПНОГОРСК, Аксу, 10, 1"</f>
        <v>КАЗАХСТАН, АКМОЛИНСКАЯ, СТЕПНОГОРСК, Аксу, 10, 1</v>
      </c>
      <c r="S87" t="str">
        <f>"ҚАЗАҚСТАН, АҚМОЛА, СТЕПНОГОР, Аксу, 10, 1"</f>
        <v>ҚАЗАҚСТАН, АҚМОЛА, СТЕПНОГОР, Аксу, 10, 1</v>
      </c>
      <c r="T87" t="str">
        <f>"Аксу, 10, 1"</f>
        <v>Аксу, 10, 1</v>
      </c>
      <c r="U87" t="str">
        <f>"Аксу, 10, 1"</f>
        <v>Аксу, 10, 1</v>
      </c>
      <c r="AC87" t="str">
        <f>"2020-06-11T13:01:00"</f>
        <v>2020-06-11T13:01:00</v>
      </c>
      <c r="AD87" t="str">
        <f>"92"</f>
        <v>92</v>
      </c>
      <c r="AG87" t="s">
        <v>202</v>
      </c>
      <c r="AI87" t="s">
        <v>203</v>
      </c>
      <c r="AJ87" t="s">
        <v>540</v>
      </c>
      <c r="AK87" t="s">
        <v>205</v>
      </c>
      <c r="AL87" t="s">
        <v>206</v>
      </c>
      <c r="AN87" t="s">
        <v>207</v>
      </c>
      <c r="AO87">
        <v>2</v>
      </c>
      <c r="AP87" t="s">
        <v>208</v>
      </c>
      <c r="AQ87" t="s">
        <v>209</v>
      </c>
      <c r="AR87" t="s">
        <v>502</v>
      </c>
      <c r="AW87" t="s">
        <v>212</v>
      </c>
      <c r="AZ87" t="s">
        <v>209</v>
      </c>
      <c r="BI87" t="s">
        <v>212</v>
      </c>
      <c r="BJ87" t="s">
        <v>213</v>
      </c>
      <c r="BK87" t="s">
        <v>214</v>
      </c>
      <c r="BL87" t="s">
        <v>357</v>
      </c>
      <c r="BN87" t="s">
        <v>216</v>
      </c>
      <c r="BO87" t="s">
        <v>209</v>
      </c>
      <c r="BP87" t="s">
        <v>241</v>
      </c>
      <c r="BQ87">
        <v>4</v>
      </c>
      <c r="BS87" t="s">
        <v>219</v>
      </c>
      <c r="BT87" t="s">
        <v>220</v>
      </c>
      <c r="BU87" t="s">
        <v>206</v>
      </c>
      <c r="BX87" t="s">
        <v>221</v>
      </c>
      <c r="BY87" t="s">
        <v>221</v>
      </c>
      <c r="BZ87" t="s">
        <v>541</v>
      </c>
      <c r="CA87" t="s">
        <v>287</v>
      </c>
      <c r="CC87" t="s">
        <v>222</v>
      </c>
      <c r="CD87" t="s">
        <v>223</v>
      </c>
      <c r="CE87" t="s">
        <v>242</v>
      </c>
      <c r="CJ87" t="s">
        <v>206</v>
      </c>
      <c r="CK87" t="s">
        <v>230</v>
      </c>
      <c r="CL87" t="s">
        <v>231</v>
      </c>
      <c r="CM87" t="s">
        <v>232</v>
      </c>
      <c r="CN87" t="s">
        <v>233</v>
      </c>
      <c r="CP87" t="s">
        <v>212</v>
      </c>
      <c r="CQ87" t="s">
        <v>212</v>
      </c>
      <c r="CR87" t="s">
        <v>212</v>
      </c>
      <c r="CS87" t="s">
        <v>212</v>
      </c>
      <c r="CY87" t="s">
        <v>212</v>
      </c>
      <c r="DB87" t="s">
        <v>234</v>
      </c>
      <c r="DE87" t="s">
        <v>212</v>
      </c>
      <c r="DF87" t="s">
        <v>212</v>
      </c>
      <c r="DG87" t="s">
        <v>235</v>
      </c>
      <c r="DH87" t="s">
        <v>212</v>
      </c>
      <c r="DJ87" t="s">
        <v>236</v>
      </c>
      <c r="DM87" t="s">
        <v>212</v>
      </c>
    </row>
    <row r="88" spans="1:184" x14ac:dyDescent="0.3">
      <c r="A88">
        <v>16031968</v>
      </c>
      <c r="B88">
        <v>125326</v>
      </c>
      <c r="C88" t="str">
        <f>"090520651027"</f>
        <v>090520651027</v>
      </c>
      <c r="D88" t="s">
        <v>553</v>
      </c>
      <c r="E88" t="s">
        <v>554</v>
      </c>
      <c r="F88" t="s">
        <v>555</v>
      </c>
      <c r="G88" s="1">
        <v>39953</v>
      </c>
      <c r="I88" t="s">
        <v>199</v>
      </c>
      <c r="J88" t="s">
        <v>200</v>
      </c>
      <c r="K88" t="s">
        <v>260</v>
      </c>
      <c r="R88" t="str">
        <f>"КАЗАХСТАН, АКМОЛИНСКАЯ, СТЕПНОГОРСК, КЕНТI Аксу, 15, 2"</f>
        <v>КАЗАХСТАН, АКМОЛИНСКАЯ, СТЕПНОГОРСК, КЕНТI Аксу, 15, 2</v>
      </c>
      <c r="S88" t="str">
        <f>"ҚАЗАҚСТАН, АҚМОЛА, СТЕПНОГОР, КЕНТI Аксу, 15, 2"</f>
        <v>ҚАЗАҚСТАН, АҚМОЛА, СТЕПНОГОР, КЕНТI Аксу, 15, 2</v>
      </c>
      <c r="T88" t="str">
        <f>"КЕНТI Аксу, 15, 2"</f>
        <v>КЕНТI Аксу, 15, 2</v>
      </c>
      <c r="U88" t="str">
        <f>"КЕНТI Аксу, 15, 2"</f>
        <v>КЕНТI Аксу, 15, 2</v>
      </c>
      <c r="AC88" t="str">
        <f>"2020-09-04T10:47:00"</f>
        <v>2020-09-04T10:47:00</v>
      </c>
      <c r="AD88" t="str">
        <f>"155"</f>
        <v>155</v>
      </c>
      <c r="AG88" t="s">
        <v>202</v>
      </c>
      <c r="AH88" t="str">
        <f>"beronika@mail.ru"</f>
        <v>beronika@mail.ru</v>
      </c>
      <c r="AI88" t="s">
        <v>269</v>
      </c>
      <c r="AJ88" t="s">
        <v>286</v>
      </c>
      <c r="AK88" t="s">
        <v>261</v>
      </c>
      <c r="AL88" t="s">
        <v>206</v>
      </c>
      <c r="AN88" t="s">
        <v>207</v>
      </c>
      <c r="AO88">
        <v>1</v>
      </c>
      <c r="AP88" t="s">
        <v>208</v>
      </c>
      <c r="AQ88" t="s">
        <v>209</v>
      </c>
      <c r="AR88" t="s">
        <v>210</v>
      </c>
      <c r="AW88" t="s">
        <v>206</v>
      </c>
      <c r="AX88" t="s">
        <v>211</v>
      </c>
      <c r="AZ88" t="s">
        <v>209</v>
      </c>
      <c r="BI88" t="s">
        <v>212</v>
      </c>
      <c r="BJ88" t="s">
        <v>213</v>
      </c>
      <c r="BK88" t="s">
        <v>214</v>
      </c>
      <c r="BL88" t="s">
        <v>215</v>
      </c>
      <c r="BN88" t="s">
        <v>247</v>
      </c>
      <c r="BO88" t="s">
        <v>209</v>
      </c>
      <c r="BP88" t="s">
        <v>241</v>
      </c>
      <c r="BQ88">
        <v>4</v>
      </c>
      <c r="BS88" t="s">
        <v>219</v>
      </c>
      <c r="BT88" t="s">
        <v>220</v>
      </c>
      <c r="BU88" t="s">
        <v>206</v>
      </c>
      <c r="BX88" t="s">
        <v>221</v>
      </c>
      <c r="BY88" t="s">
        <v>221</v>
      </c>
      <c r="CA88" t="s">
        <v>287</v>
      </c>
      <c r="CC88" t="s">
        <v>209</v>
      </c>
      <c r="CE88" t="s">
        <v>242</v>
      </c>
      <c r="CJ88" t="s">
        <v>206</v>
      </c>
      <c r="CK88" t="s">
        <v>230</v>
      </c>
      <c r="CL88" t="s">
        <v>231</v>
      </c>
      <c r="CM88" t="s">
        <v>232</v>
      </c>
      <c r="CN88" t="s">
        <v>233</v>
      </c>
      <c r="CP88" t="s">
        <v>212</v>
      </c>
      <c r="CQ88" t="s">
        <v>212</v>
      </c>
      <c r="CR88" t="s">
        <v>212</v>
      </c>
      <c r="CS88" t="s">
        <v>212</v>
      </c>
      <c r="CY88" t="s">
        <v>212</v>
      </c>
      <c r="DB88" t="s">
        <v>234</v>
      </c>
      <c r="DE88" t="s">
        <v>212</v>
      </c>
      <c r="DF88" t="s">
        <v>212</v>
      </c>
      <c r="DG88" t="s">
        <v>235</v>
      </c>
      <c r="DH88" t="s">
        <v>212</v>
      </c>
      <c r="DJ88" t="s">
        <v>236</v>
      </c>
      <c r="DM88" t="s">
        <v>212</v>
      </c>
    </row>
    <row r="89" spans="1:184" x14ac:dyDescent="0.3">
      <c r="A89">
        <v>16183413</v>
      </c>
      <c r="B89">
        <v>316055</v>
      </c>
      <c r="C89" t="str">
        <f>"100603551284"</f>
        <v>100603551284</v>
      </c>
      <c r="D89" t="s">
        <v>556</v>
      </c>
      <c r="E89" t="s">
        <v>557</v>
      </c>
      <c r="F89" t="s">
        <v>558</v>
      </c>
      <c r="G89" s="1">
        <v>40332</v>
      </c>
      <c r="I89" t="s">
        <v>240</v>
      </c>
      <c r="J89" t="s">
        <v>200</v>
      </c>
      <c r="K89" t="s">
        <v>260</v>
      </c>
      <c r="Q89" t="s">
        <v>212</v>
      </c>
      <c r="R89" t="str">
        <f>"КАЗАХСТАН, АКМОЛИНСКАЯ, СТЕПНОГОРСК, СТЕПНОГОРСК, 79, 12"</f>
        <v>КАЗАХСТАН, АКМОЛИНСКАЯ, СТЕПНОГОРСК, СТЕПНОГОРСК, 79, 12</v>
      </c>
      <c r="S89" t="str">
        <f>"ҚАЗАҚСТАН, АҚМОЛА, СТЕПНОГОР, СТЕПНОГОРСК, 79, 12"</f>
        <v>ҚАЗАҚСТАН, АҚМОЛА, СТЕПНОГОР, СТЕПНОГОРСК, 79, 12</v>
      </c>
      <c r="T89" t="str">
        <f>"СТЕПНОГОРСК, 79, 12"</f>
        <v>СТЕПНОГОРСК, 79, 12</v>
      </c>
      <c r="U89" t="str">
        <f>"СТЕПНОГОРСК, 79, 12"</f>
        <v>СТЕПНОГОРСК, 79, 12</v>
      </c>
      <c r="AC89" t="str">
        <f>"2020-09-04T10:51:00"</f>
        <v>2020-09-04T10:51:00</v>
      </c>
      <c r="AD89" t="str">
        <f>"154"</f>
        <v>154</v>
      </c>
      <c r="AG89" t="s">
        <v>333</v>
      </c>
      <c r="AI89" t="s">
        <v>274</v>
      </c>
      <c r="AJ89" t="s">
        <v>348</v>
      </c>
      <c r="AK89" t="s">
        <v>261</v>
      </c>
      <c r="AL89" t="s">
        <v>206</v>
      </c>
      <c r="AN89" t="s">
        <v>207</v>
      </c>
      <c r="AO89">
        <v>1</v>
      </c>
      <c r="AP89" t="s">
        <v>208</v>
      </c>
      <c r="AQ89" t="s">
        <v>209</v>
      </c>
      <c r="AR89" t="s">
        <v>210</v>
      </c>
      <c r="AW89" t="s">
        <v>206</v>
      </c>
      <c r="AX89" t="s">
        <v>211</v>
      </c>
      <c r="AZ89" t="s">
        <v>209</v>
      </c>
      <c r="BI89" t="s">
        <v>212</v>
      </c>
      <c r="BJ89" t="s">
        <v>213</v>
      </c>
      <c r="BK89" t="s">
        <v>214</v>
      </c>
      <c r="BL89" t="s">
        <v>215</v>
      </c>
      <c r="BN89" t="s">
        <v>247</v>
      </c>
      <c r="BO89" t="s">
        <v>209</v>
      </c>
      <c r="BP89" t="s">
        <v>241</v>
      </c>
      <c r="BQ89">
        <v>3</v>
      </c>
      <c r="BS89" t="s">
        <v>219</v>
      </c>
      <c r="BT89" t="s">
        <v>220</v>
      </c>
      <c r="BU89" t="s">
        <v>206</v>
      </c>
      <c r="BX89" t="s">
        <v>221</v>
      </c>
      <c r="BY89" t="s">
        <v>221</v>
      </c>
      <c r="CA89" t="s">
        <v>222</v>
      </c>
      <c r="CB89" t="s">
        <v>223</v>
      </c>
      <c r="CC89" t="s">
        <v>222</v>
      </c>
      <c r="CD89" t="s">
        <v>223</v>
      </c>
      <c r="CE89" t="s">
        <v>242</v>
      </c>
      <c r="CJ89" t="s">
        <v>206</v>
      </c>
      <c r="CK89" t="s">
        <v>230</v>
      </c>
      <c r="CL89" t="s">
        <v>231</v>
      </c>
      <c r="CM89" t="s">
        <v>232</v>
      </c>
      <c r="CN89" t="s">
        <v>233</v>
      </c>
      <c r="CP89" t="s">
        <v>212</v>
      </c>
      <c r="CQ89" t="s">
        <v>212</v>
      </c>
      <c r="CR89" t="s">
        <v>212</v>
      </c>
      <c r="CS89" t="s">
        <v>212</v>
      </c>
      <c r="CY89" t="s">
        <v>212</v>
      </c>
      <c r="DB89" t="s">
        <v>234</v>
      </c>
      <c r="DE89" t="s">
        <v>212</v>
      </c>
      <c r="DF89" t="s">
        <v>212</v>
      </c>
      <c r="DG89" t="s">
        <v>235</v>
      </c>
      <c r="DH89" t="s">
        <v>212</v>
      </c>
      <c r="DJ89" t="s">
        <v>236</v>
      </c>
      <c r="DM89" t="s">
        <v>212</v>
      </c>
    </row>
    <row r="90" spans="1:184" x14ac:dyDescent="0.3">
      <c r="A90">
        <v>18018204</v>
      </c>
      <c r="B90">
        <v>118909</v>
      </c>
      <c r="C90" t="str">
        <f>"090321651491"</f>
        <v>090321651491</v>
      </c>
      <c r="D90" t="s">
        <v>559</v>
      </c>
      <c r="E90" t="s">
        <v>560</v>
      </c>
      <c r="F90" t="s">
        <v>305</v>
      </c>
      <c r="G90" s="1">
        <v>39893</v>
      </c>
      <c r="I90" t="s">
        <v>199</v>
      </c>
      <c r="J90" t="s">
        <v>200</v>
      </c>
      <c r="K90" t="s">
        <v>260</v>
      </c>
      <c r="Q90" t="s">
        <v>212</v>
      </c>
      <c r="R90" t="str">
        <f>"АНДОРРА, АКМОЛИНСКАЯ, ШОРТАНДИНСКИЙ РАЙОН, Пригородный, Камышенка, 9"</f>
        <v>АНДОРРА, АКМОЛИНСКАЯ, ШОРТАНДИНСКИЙ РАЙОН, Пригородный, Камышенка, 9</v>
      </c>
      <c r="S90" t="str">
        <f>"АНДОРРА, АҚМОЛА, ШОРТАНДЫ АУДАНЫ, Пригородный, Камышенка, 9"</f>
        <v>АНДОРРА, АҚМОЛА, ШОРТАНДЫ АУДАНЫ, Пригородный, Камышенка, 9</v>
      </c>
      <c r="T90" t="str">
        <f>"Пригородный, Камышенка, 9"</f>
        <v>Пригородный, Камышенка, 9</v>
      </c>
      <c r="U90" t="str">
        <f>"Пригородный, Камышенка, 9"</f>
        <v>Пригородный, Камышенка, 9</v>
      </c>
      <c r="AC90" t="str">
        <f>"2020-11-12T00:00:00"</f>
        <v>2020-11-12T00:00:00</v>
      </c>
      <c r="AD90" t="str">
        <f>"35"</f>
        <v>35</v>
      </c>
      <c r="AG90" t="s">
        <v>333</v>
      </c>
      <c r="AH90" t="str">
        <f>"ckool007@mail.ru"</f>
        <v>ckool007@mail.ru</v>
      </c>
      <c r="AI90" t="s">
        <v>269</v>
      </c>
      <c r="AJ90" t="s">
        <v>204</v>
      </c>
      <c r="AK90" t="s">
        <v>261</v>
      </c>
      <c r="AL90" t="s">
        <v>206</v>
      </c>
      <c r="AN90" t="s">
        <v>207</v>
      </c>
      <c r="AO90">
        <v>1</v>
      </c>
      <c r="AP90" t="s">
        <v>208</v>
      </c>
      <c r="AQ90" t="s">
        <v>209</v>
      </c>
      <c r="AR90" t="s">
        <v>210</v>
      </c>
      <c r="AW90" t="s">
        <v>206</v>
      </c>
      <c r="AX90" t="s">
        <v>211</v>
      </c>
      <c r="AZ90" t="s">
        <v>209</v>
      </c>
      <c r="BI90" t="s">
        <v>212</v>
      </c>
      <c r="BJ90" t="s">
        <v>213</v>
      </c>
      <c r="BK90" t="s">
        <v>214</v>
      </c>
      <c r="BL90" t="s">
        <v>215</v>
      </c>
      <c r="BN90" t="s">
        <v>281</v>
      </c>
      <c r="BO90" t="s">
        <v>209</v>
      </c>
      <c r="BP90" t="s">
        <v>217</v>
      </c>
      <c r="BQ90" t="s">
        <v>378</v>
      </c>
      <c r="BS90" t="s">
        <v>219</v>
      </c>
      <c r="BT90" t="s">
        <v>220</v>
      </c>
      <c r="BU90" t="s">
        <v>206</v>
      </c>
      <c r="BX90" t="s">
        <v>221</v>
      </c>
      <c r="BY90" t="s">
        <v>221</v>
      </c>
      <c r="CA90" t="s">
        <v>222</v>
      </c>
      <c r="CB90" t="s">
        <v>223</v>
      </c>
      <c r="CC90" t="s">
        <v>209</v>
      </c>
      <c r="CE90" t="s">
        <v>342</v>
      </c>
      <c r="CF90" t="s">
        <v>226</v>
      </c>
      <c r="CG90" t="s">
        <v>227</v>
      </c>
      <c r="CH90" t="s">
        <v>228</v>
      </c>
      <c r="CI90" t="s">
        <v>561</v>
      </c>
      <c r="CJ90" t="s">
        <v>206</v>
      </c>
      <c r="CK90" t="s">
        <v>230</v>
      </c>
      <c r="CL90" t="s">
        <v>231</v>
      </c>
      <c r="CM90" t="s">
        <v>232</v>
      </c>
      <c r="CN90" t="s">
        <v>233</v>
      </c>
      <c r="CP90" t="s">
        <v>212</v>
      </c>
      <c r="CQ90" t="s">
        <v>212</v>
      </c>
      <c r="CR90" t="s">
        <v>212</v>
      </c>
      <c r="CS90" t="s">
        <v>212</v>
      </c>
      <c r="CY90" t="s">
        <v>212</v>
      </c>
      <c r="DB90" t="s">
        <v>234</v>
      </c>
      <c r="DE90" t="s">
        <v>212</v>
      </c>
      <c r="DF90" t="s">
        <v>212</v>
      </c>
      <c r="DG90" t="s">
        <v>235</v>
      </c>
      <c r="DH90" t="s">
        <v>212</v>
      </c>
      <c r="DJ90" t="s">
        <v>236</v>
      </c>
      <c r="DM90" t="s">
        <v>212</v>
      </c>
    </row>
    <row r="91" spans="1:184" x14ac:dyDescent="0.3">
      <c r="A91">
        <v>18080434</v>
      </c>
      <c r="B91">
        <v>5082</v>
      </c>
      <c r="C91" t="str">
        <f>"090613552738"</f>
        <v>090613552738</v>
      </c>
      <c r="D91" t="s">
        <v>562</v>
      </c>
      <c r="E91" t="s">
        <v>557</v>
      </c>
      <c r="F91" t="s">
        <v>521</v>
      </c>
      <c r="G91" s="1">
        <v>39977</v>
      </c>
      <c r="I91" t="s">
        <v>240</v>
      </c>
      <c r="J91" t="s">
        <v>200</v>
      </c>
      <c r="K91" t="s">
        <v>306</v>
      </c>
      <c r="R91" t="str">
        <f>"АНДОРРА, АКМОЛИНСКАЯ, БУЛАНДЫНСКИЙ РАЙОН, Ергольский, Новокиевка, 28"</f>
        <v>АНДОРРА, АКМОЛИНСКАЯ, БУЛАНДЫНСКИЙ РАЙОН, Ергольский, Новокиевка, 28</v>
      </c>
      <c r="S91" t="str">
        <f>"АНДОРРА, АҚМОЛА, БҰЛАНДЫ АУДАНЫ, Ергольский, Новокиевка, 28"</f>
        <v>АНДОРРА, АҚМОЛА, БҰЛАНДЫ АУДАНЫ, Ергольский, Новокиевка, 28</v>
      </c>
      <c r="T91" t="str">
        <f>"Ергольский, Новокиевка, 28"</f>
        <v>Ергольский, Новокиевка, 28</v>
      </c>
      <c r="U91" t="str">
        <f>"Ергольский, Новокиевка, 28"</f>
        <v>Ергольский, Новокиевка, 28</v>
      </c>
      <c r="AC91" t="str">
        <f>"2020-11-13T00:00:00"</f>
        <v>2020-11-13T00:00:00</v>
      </c>
      <c r="AD91" t="str">
        <f>"39"</f>
        <v>39</v>
      </c>
      <c r="AG91" t="s">
        <v>333</v>
      </c>
      <c r="AH91" t="str">
        <f>"ckool007@mail.ru"</f>
        <v>ckool007@mail.ru</v>
      </c>
      <c r="AI91" t="s">
        <v>203</v>
      </c>
      <c r="AJ91" t="s">
        <v>286</v>
      </c>
      <c r="AK91" t="s">
        <v>205</v>
      </c>
      <c r="AL91" t="s">
        <v>206</v>
      </c>
      <c r="AN91" t="s">
        <v>207</v>
      </c>
      <c r="AO91">
        <v>1</v>
      </c>
      <c r="AP91" t="s">
        <v>208</v>
      </c>
      <c r="AQ91" t="s">
        <v>209</v>
      </c>
      <c r="AR91" t="s">
        <v>210</v>
      </c>
      <c r="AW91" t="s">
        <v>206</v>
      </c>
      <c r="AX91" t="s">
        <v>211</v>
      </c>
      <c r="AZ91" t="s">
        <v>209</v>
      </c>
      <c r="BI91" t="s">
        <v>212</v>
      </c>
      <c r="BJ91" t="s">
        <v>213</v>
      </c>
      <c r="BK91" t="s">
        <v>214</v>
      </c>
      <c r="BL91" t="s">
        <v>215</v>
      </c>
      <c r="BN91" t="s">
        <v>216</v>
      </c>
      <c r="BO91" t="s">
        <v>209</v>
      </c>
      <c r="BP91" t="s">
        <v>241</v>
      </c>
      <c r="BQ91">
        <v>4</v>
      </c>
      <c r="BS91" t="s">
        <v>219</v>
      </c>
      <c r="BT91" t="s">
        <v>220</v>
      </c>
      <c r="BU91" t="s">
        <v>206</v>
      </c>
      <c r="BX91" t="s">
        <v>234</v>
      </c>
      <c r="BY91" t="s">
        <v>234</v>
      </c>
      <c r="CA91" t="s">
        <v>287</v>
      </c>
      <c r="CC91" t="s">
        <v>209</v>
      </c>
      <c r="CE91" t="s">
        <v>563</v>
      </c>
      <c r="CF91" t="s">
        <v>564</v>
      </c>
      <c r="CG91" t="s">
        <v>565</v>
      </c>
      <c r="CH91" t="s">
        <v>566</v>
      </c>
      <c r="CI91" t="s">
        <v>567</v>
      </c>
      <c r="CJ91" t="s">
        <v>206</v>
      </c>
      <c r="CK91" t="s">
        <v>230</v>
      </c>
      <c r="CL91" t="s">
        <v>231</v>
      </c>
      <c r="CM91" t="s">
        <v>232</v>
      </c>
      <c r="CN91" t="s">
        <v>233</v>
      </c>
      <c r="CP91" t="s">
        <v>212</v>
      </c>
      <c r="CQ91" t="s">
        <v>212</v>
      </c>
      <c r="CR91" t="s">
        <v>212</v>
      </c>
      <c r="CS91" t="s">
        <v>212</v>
      </c>
      <c r="CY91" t="s">
        <v>212</v>
      </c>
      <c r="DB91" t="s">
        <v>234</v>
      </c>
      <c r="DE91" t="s">
        <v>212</v>
      </c>
      <c r="DF91" t="s">
        <v>212</v>
      </c>
      <c r="DG91" t="s">
        <v>235</v>
      </c>
      <c r="DH91" t="s">
        <v>212</v>
      </c>
      <c r="DJ91" t="s">
        <v>236</v>
      </c>
      <c r="DM91" t="s">
        <v>212</v>
      </c>
    </row>
    <row r="92" spans="1:184" x14ac:dyDescent="0.3">
      <c r="A92">
        <v>18263774</v>
      </c>
      <c r="B92">
        <v>840675</v>
      </c>
      <c r="C92" t="str">
        <f>"150807501177"</f>
        <v>150807501177</v>
      </c>
      <c r="D92" t="s">
        <v>462</v>
      </c>
      <c r="E92" t="s">
        <v>568</v>
      </c>
      <c r="F92" t="s">
        <v>569</v>
      </c>
      <c r="G92" s="1">
        <v>42223</v>
      </c>
      <c r="I92" t="s">
        <v>240</v>
      </c>
      <c r="J92" t="s">
        <v>200</v>
      </c>
      <c r="K92" t="s">
        <v>201</v>
      </c>
      <c r="R92" t="str">
        <f>"КАЗАХСТАН, АКМОЛИНСКАЯ, СТЕПНОГОРСК, 12, 55"</f>
        <v>КАЗАХСТАН, АКМОЛИНСКАЯ, СТЕПНОГОРСК, 12, 55</v>
      </c>
      <c r="S92" t="str">
        <f>"ҚАЗАҚСТАН, АҚМОЛА, СТЕПНОГОР, 12, 55"</f>
        <v>ҚАЗАҚСТАН, АҚМОЛА, СТЕПНОГОР, 12, 55</v>
      </c>
      <c r="T92" t="str">
        <f>"12, 55"</f>
        <v>12, 55</v>
      </c>
      <c r="U92" t="str">
        <f>"12, 55"</f>
        <v>12, 55</v>
      </c>
      <c r="AC92" t="str">
        <f>"2020-11-13T00:00:00"</f>
        <v>2020-11-13T00:00:00</v>
      </c>
      <c r="AD92" t="str">
        <f>"38"</f>
        <v>38</v>
      </c>
      <c r="AG92" t="s">
        <v>202</v>
      </c>
      <c r="AI92" t="s">
        <v>299</v>
      </c>
      <c r="AJ92" t="s">
        <v>570</v>
      </c>
      <c r="AK92" t="s">
        <v>246</v>
      </c>
      <c r="AL92" t="s">
        <v>206</v>
      </c>
      <c r="AN92" t="s">
        <v>207</v>
      </c>
      <c r="AO92">
        <v>1</v>
      </c>
      <c r="AP92" t="s">
        <v>208</v>
      </c>
      <c r="AQ92" t="s">
        <v>209</v>
      </c>
      <c r="AR92" t="s">
        <v>210</v>
      </c>
      <c r="AW92" t="s">
        <v>212</v>
      </c>
      <c r="AZ92" t="s">
        <v>209</v>
      </c>
      <c r="BI92" t="s">
        <v>212</v>
      </c>
      <c r="BJ92" t="s">
        <v>213</v>
      </c>
      <c r="BK92" t="s">
        <v>214</v>
      </c>
      <c r="BL92" t="s">
        <v>357</v>
      </c>
      <c r="BN92" t="s">
        <v>247</v>
      </c>
      <c r="BO92" t="s">
        <v>209</v>
      </c>
      <c r="BP92" t="s">
        <v>241</v>
      </c>
      <c r="BQ92">
        <v>3</v>
      </c>
      <c r="BS92" t="s">
        <v>220</v>
      </c>
      <c r="BU92" t="s">
        <v>212</v>
      </c>
      <c r="BX92" t="s">
        <v>221</v>
      </c>
      <c r="BY92" t="s">
        <v>221</v>
      </c>
      <c r="BZ92" t="s">
        <v>571</v>
      </c>
      <c r="CA92" t="s">
        <v>287</v>
      </c>
      <c r="CC92" t="s">
        <v>222</v>
      </c>
      <c r="CD92" t="s">
        <v>223</v>
      </c>
      <c r="CE92" t="s">
        <v>242</v>
      </c>
      <c r="CJ92" t="s">
        <v>206</v>
      </c>
      <c r="CK92" t="s">
        <v>230</v>
      </c>
      <c r="CL92" t="s">
        <v>231</v>
      </c>
      <c r="CM92" t="s">
        <v>232</v>
      </c>
      <c r="CN92" t="s">
        <v>233</v>
      </c>
      <c r="CP92" t="s">
        <v>212</v>
      </c>
      <c r="CQ92" t="s">
        <v>212</v>
      </c>
      <c r="CR92" t="s">
        <v>212</v>
      </c>
      <c r="CS92" t="s">
        <v>212</v>
      </c>
      <c r="CY92" t="s">
        <v>212</v>
      </c>
      <c r="DB92" t="s">
        <v>234</v>
      </c>
      <c r="DE92" t="s">
        <v>212</v>
      </c>
      <c r="DF92" t="s">
        <v>212</v>
      </c>
      <c r="DG92" t="s">
        <v>235</v>
      </c>
      <c r="DH92" t="s">
        <v>212</v>
      </c>
      <c r="DJ92" t="s">
        <v>236</v>
      </c>
      <c r="DM92" t="s">
        <v>212</v>
      </c>
    </row>
    <row r="93" spans="1:184" x14ac:dyDescent="0.3">
      <c r="A93">
        <v>18676037</v>
      </c>
      <c r="B93">
        <v>850474</v>
      </c>
      <c r="C93" t="str">
        <f>"140315600793"</f>
        <v>140315600793</v>
      </c>
      <c r="D93" t="s">
        <v>572</v>
      </c>
      <c r="E93" t="s">
        <v>573</v>
      </c>
      <c r="F93" t="s">
        <v>574</v>
      </c>
      <c r="G93" s="1">
        <v>41713</v>
      </c>
      <c r="I93" t="s">
        <v>199</v>
      </c>
      <c r="J93" t="s">
        <v>200</v>
      </c>
      <c r="K93" t="s">
        <v>260</v>
      </c>
      <c r="Q93" t="s">
        <v>212</v>
      </c>
      <c r="R93" t="str">
        <f>"КАЗАХСТАН, АКМОЛИНСКАЯ, СТЕПНОГОРСК, Заводской, 27, 1"</f>
        <v>КАЗАХСТАН, АКМОЛИНСКАЯ, СТЕПНОГОРСК, Заводской, 27, 1</v>
      </c>
      <c r="S93" t="str">
        <f>"ҚАЗАҚСТАН, АҚМОЛА, СТЕПНОГОР, Заводской, 27, 1"</f>
        <v>ҚАЗАҚСТАН, АҚМОЛА, СТЕПНОГОР, Заводской, 27, 1</v>
      </c>
      <c r="T93" t="str">
        <f>"Заводской, 27, 1"</f>
        <v>Заводской, 27, 1</v>
      </c>
      <c r="U93" t="str">
        <f>"Заводской, 27, 1"</f>
        <v>Заводской, 27, 1</v>
      </c>
      <c r="AC93" t="str">
        <f>"2021-01-08T00:00:00"</f>
        <v>2021-01-08T00:00:00</v>
      </c>
      <c r="AD93" t="str">
        <f>"48"</f>
        <v>48</v>
      </c>
      <c r="AG93" t="s">
        <v>202</v>
      </c>
      <c r="AI93" t="s">
        <v>274</v>
      </c>
      <c r="AJ93" t="s">
        <v>540</v>
      </c>
      <c r="AK93" t="s">
        <v>261</v>
      </c>
      <c r="AL93" t="s">
        <v>206</v>
      </c>
      <c r="AN93" t="s">
        <v>207</v>
      </c>
      <c r="AO93">
        <v>2</v>
      </c>
      <c r="AP93" t="s">
        <v>208</v>
      </c>
      <c r="AQ93" t="s">
        <v>209</v>
      </c>
      <c r="AR93" t="s">
        <v>502</v>
      </c>
      <c r="AW93" t="s">
        <v>212</v>
      </c>
      <c r="AZ93" t="s">
        <v>209</v>
      </c>
      <c r="BI93" t="s">
        <v>212</v>
      </c>
      <c r="BJ93" t="s">
        <v>213</v>
      </c>
      <c r="BK93" t="s">
        <v>214</v>
      </c>
      <c r="BL93" t="s">
        <v>357</v>
      </c>
      <c r="BN93" t="s">
        <v>216</v>
      </c>
      <c r="BO93" t="s">
        <v>209</v>
      </c>
      <c r="BP93" t="s">
        <v>241</v>
      </c>
      <c r="BQ93">
        <v>4</v>
      </c>
      <c r="BS93" t="s">
        <v>219</v>
      </c>
      <c r="BT93" t="s">
        <v>220</v>
      </c>
      <c r="BU93" t="s">
        <v>206</v>
      </c>
      <c r="BX93" t="s">
        <v>221</v>
      </c>
      <c r="BY93" t="s">
        <v>221</v>
      </c>
      <c r="BZ93" t="s">
        <v>541</v>
      </c>
      <c r="CA93" t="s">
        <v>287</v>
      </c>
      <c r="CC93" t="s">
        <v>222</v>
      </c>
      <c r="CD93" t="s">
        <v>223</v>
      </c>
      <c r="CE93" t="s">
        <v>242</v>
      </c>
      <c r="CJ93" t="s">
        <v>206</v>
      </c>
      <c r="CK93" t="s">
        <v>230</v>
      </c>
      <c r="CL93" t="s">
        <v>231</v>
      </c>
      <c r="CM93" t="s">
        <v>232</v>
      </c>
      <c r="CN93" t="s">
        <v>233</v>
      </c>
      <c r="CP93" t="s">
        <v>212</v>
      </c>
      <c r="CQ93" t="s">
        <v>212</v>
      </c>
      <c r="CR93" t="s">
        <v>212</v>
      </c>
      <c r="CS93" t="s">
        <v>212</v>
      </c>
      <c r="CY93" t="s">
        <v>212</v>
      </c>
      <c r="DB93" t="s">
        <v>234</v>
      </c>
      <c r="DE93" t="s">
        <v>212</v>
      </c>
      <c r="DF93" t="s">
        <v>212</v>
      </c>
      <c r="DG93" t="s">
        <v>235</v>
      </c>
      <c r="DH93" t="s">
        <v>212</v>
      </c>
      <c r="DJ93" t="s">
        <v>236</v>
      </c>
      <c r="DM93" t="s">
        <v>212</v>
      </c>
    </row>
    <row r="94" spans="1:184" x14ac:dyDescent="0.3">
      <c r="A94">
        <v>19210046</v>
      </c>
      <c r="B94">
        <v>8937446</v>
      </c>
      <c r="C94" t="str">
        <f>"150603502760"</f>
        <v>150603502760</v>
      </c>
      <c r="D94" t="s">
        <v>575</v>
      </c>
      <c r="E94" t="s">
        <v>576</v>
      </c>
      <c r="F94" t="s">
        <v>577</v>
      </c>
      <c r="G94" s="1">
        <v>42158</v>
      </c>
      <c r="I94" t="s">
        <v>240</v>
      </c>
      <c r="J94" t="s">
        <v>200</v>
      </c>
      <c r="K94" t="s">
        <v>201</v>
      </c>
      <c r="R94" t="str">
        <f>"КАЗАХСТАН, АКМОЛИНСКАЯ, СТЕПНОГОРСК, 36, 41"</f>
        <v>КАЗАХСТАН, АКМОЛИНСКАЯ, СТЕПНОГОРСК, 36, 41</v>
      </c>
      <c r="S94" t="str">
        <f>"ҚАЗАҚСТАН, АҚМОЛА, СТЕПНОГОР, 36, 41"</f>
        <v>ҚАЗАҚСТАН, АҚМОЛА, СТЕПНОГОР, 36, 41</v>
      </c>
      <c r="T94" t="str">
        <f>"36, 41"</f>
        <v>36, 41</v>
      </c>
      <c r="U94" t="str">
        <f>"36, 41"</f>
        <v>36, 41</v>
      </c>
      <c r="AC94" t="str">
        <f>"2021-04-22T00:00:00"</f>
        <v>2021-04-22T00:00:00</v>
      </c>
      <c r="AD94" t="str">
        <f>"135"</f>
        <v>135</v>
      </c>
      <c r="AE94" t="str">
        <f>"2023-09-01T17:41:11"</f>
        <v>2023-09-01T17:41:11</v>
      </c>
      <c r="AF94" t="str">
        <f>"2024-05-25T17:41:11"</f>
        <v>2024-05-25T17:41:11</v>
      </c>
      <c r="AG94" t="s">
        <v>202</v>
      </c>
      <c r="AI94" t="s">
        <v>203</v>
      </c>
      <c r="AJ94" t="s">
        <v>540</v>
      </c>
      <c r="AK94" t="s">
        <v>253</v>
      </c>
      <c r="AL94" t="s">
        <v>206</v>
      </c>
      <c r="AN94" t="s">
        <v>254</v>
      </c>
      <c r="AO94">
        <v>2</v>
      </c>
      <c r="AP94" t="s">
        <v>208</v>
      </c>
      <c r="AQ94" t="s">
        <v>209</v>
      </c>
      <c r="AR94" t="s">
        <v>210</v>
      </c>
      <c r="AW94" t="s">
        <v>206</v>
      </c>
      <c r="AX94" t="s">
        <v>211</v>
      </c>
      <c r="AZ94" t="s">
        <v>209</v>
      </c>
      <c r="BI94" t="s">
        <v>212</v>
      </c>
      <c r="BJ94" t="s">
        <v>213</v>
      </c>
      <c r="BK94" t="s">
        <v>214</v>
      </c>
      <c r="BL94" t="s">
        <v>357</v>
      </c>
      <c r="BN94" t="s">
        <v>281</v>
      </c>
      <c r="BO94" t="s">
        <v>209</v>
      </c>
      <c r="BP94" t="s">
        <v>241</v>
      </c>
      <c r="BQ94">
        <v>5</v>
      </c>
      <c r="BS94" t="s">
        <v>219</v>
      </c>
      <c r="BT94" t="s">
        <v>220</v>
      </c>
      <c r="BU94" t="s">
        <v>206</v>
      </c>
      <c r="BZ94" t="s">
        <v>541</v>
      </c>
      <c r="CA94" t="s">
        <v>287</v>
      </c>
      <c r="CC94" t="s">
        <v>222</v>
      </c>
      <c r="CD94" t="s">
        <v>223</v>
      </c>
      <c r="CE94" t="s">
        <v>242</v>
      </c>
      <c r="CJ94" t="s">
        <v>206</v>
      </c>
      <c r="CK94" t="s">
        <v>230</v>
      </c>
      <c r="CL94" t="s">
        <v>231</v>
      </c>
      <c r="CM94" t="s">
        <v>232</v>
      </c>
      <c r="CN94" t="s">
        <v>233</v>
      </c>
      <c r="CP94" t="s">
        <v>212</v>
      </c>
      <c r="CQ94" t="s">
        <v>212</v>
      </c>
      <c r="CR94" t="s">
        <v>212</v>
      </c>
      <c r="CS94" t="s">
        <v>212</v>
      </c>
      <c r="CY94" t="s">
        <v>212</v>
      </c>
      <c r="DB94" t="s">
        <v>234</v>
      </c>
      <c r="DE94" t="s">
        <v>212</v>
      </c>
      <c r="DF94" t="s">
        <v>212</v>
      </c>
      <c r="DG94" t="s">
        <v>235</v>
      </c>
      <c r="DH94" t="s">
        <v>212</v>
      </c>
      <c r="DJ94" t="s">
        <v>421</v>
      </c>
      <c r="DK94" t="s">
        <v>422</v>
      </c>
      <c r="DL94" t="s">
        <v>423</v>
      </c>
      <c r="DM94" t="s">
        <v>206</v>
      </c>
      <c r="GB94" t="s">
        <v>206</v>
      </c>
    </row>
    <row r="95" spans="1:184" x14ac:dyDescent="0.3">
      <c r="A95">
        <v>19234911</v>
      </c>
      <c r="B95">
        <v>827579</v>
      </c>
      <c r="C95" t="str">
        <f>"150324600724"</f>
        <v>150324600724</v>
      </c>
      <c r="D95" t="s">
        <v>578</v>
      </c>
      <c r="E95" t="s">
        <v>399</v>
      </c>
      <c r="F95" t="s">
        <v>305</v>
      </c>
      <c r="G95" s="1">
        <v>42087</v>
      </c>
      <c r="I95" t="s">
        <v>199</v>
      </c>
      <c r="J95" t="s">
        <v>200</v>
      </c>
      <c r="K95" t="s">
        <v>306</v>
      </c>
      <c r="R95" t="str">
        <f>"КАЗАХСТАН, АКМОЛИНСКАЯ, СТЕПНОГОРСК, 74, 9"</f>
        <v>КАЗАХСТАН, АКМОЛИНСКАЯ, СТЕПНОГОРСК, 74, 9</v>
      </c>
      <c r="S95" t="str">
        <f>"ҚАЗАҚСТАН, АҚМОЛА, СТЕПНОГОР, 74, 9"</f>
        <v>ҚАЗАҚСТАН, АҚМОЛА, СТЕПНОГОР, 74, 9</v>
      </c>
      <c r="T95" t="str">
        <f>"74, 9"</f>
        <v>74, 9</v>
      </c>
      <c r="U95" t="str">
        <f>"74, 9"</f>
        <v>74, 9</v>
      </c>
      <c r="AC95" t="str">
        <f>"2021-04-30T00:00:00"</f>
        <v>2021-04-30T00:00:00</v>
      </c>
      <c r="AD95" t="str">
        <f>"135"</f>
        <v>135</v>
      </c>
      <c r="AG95" t="s">
        <v>202</v>
      </c>
      <c r="AI95" t="s">
        <v>299</v>
      </c>
      <c r="AJ95" t="s">
        <v>540</v>
      </c>
      <c r="AK95" t="s">
        <v>205</v>
      </c>
      <c r="AL95" t="s">
        <v>206</v>
      </c>
      <c r="AN95" t="s">
        <v>207</v>
      </c>
      <c r="AO95">
        <v>2</v>
      </c>
      <c r="AP95" t="s">
        <v>208</v>
      </c>
      <c r="AQ95" t="s">
        <v>209</v>
      </c>
      <c r="AR95" t="s">
        <v>412</v>
      </c>
      <c r="AW95" t="s">
        <v>206</v>
      </c>
      <c r="AX95" t="s">
        <v>211</v>
      </c>
      <c r="AZ95" t="s">
        <v>209</v>
      </c>
      <c r="BI95" t="s">
        <v>212</v>
      </c>
      <c r="BJ95" t="s">
        <v>213</v>
      </c>
      <c r="BK95" t="s">
        <v>214</v>
      </c>
      <c r="BL95" t="s">
        <v>357</v>
      </c>
      <c r="BN95" t="s">
        <v>216</v>
      </c>
      <c r="BO95" t="s">
        <v>209</v>
      </c>
      <c r="BP95" t="s">
        <v>241</v>
      </c>
      <c r="BQ95">
        <v>5</v>
      </c>
      <c r="BS95" t="s">
        <v>219</v>
      </c>
      <c r="BT95" t="s">
        <v>220</v>
      </c>
      <c r="BU95" t="s">
        <v>206</v>
      </c>
      <c r="BX95" t="s">
        <v>234</v>
      </c>
      <c r="BY95" t="s">
        <v>234</v>
      </c>
      <c r="BZ95" t="s">
        <v>541</v>
      </c>
      <c r="CA95" t="s">
        <v>287</v>
      </c>
      <c r="CC95" t="s">
        <v>222</v>
      </c>
      <c r="CD95" t="s">
        <v>223</v>
      </c>
      <c r="CE95" t="s">
        <v>242</v>
      </c>
      <c r="CJ95" t="s">
        <v>206</v>
      </c>
      <c r="CK95" t="s">
        <v>230</v>
      </c>
      <c r="CL95" t="s">
        <v>231</v>
      </c>
      <c r="CM95" t="s">
        <v>232</v>
      </c>
      <c r="CN95" t="s">
        <v>233</v>
      </c>
      <c r="CP95" t="s">
        <v>212</v>
      </c>
      <c r="CQ95" t="s">
        <v>212</v>
      </c>
      <c r="CR95" t="s">
        <v>212</v>
      </c>
      <c r="CS95" t="s">
        <v>212</v>
      </c>
      <c r="CY95" t="s">
        <v>212</v>
      </c>
      <c r="DB95" t="s">
        <v>234</v>
      </c>
      <c r="DE95" t="s">
        <v>212</v>
      </c>
      <c r="DF95" t="s">
        <v>212</v>
      </c>
      <c r="DG95" t="s">
        <v>235</v>
      </c>
      <c r="DH95" t="s">
        <v>212</v>
      </c>
      <c r="DJ95" t="s">
        <v>236</v>
      </c>
      <c r="DM95" t="s">
        <v>212</v>
      </c>
      <c r="GB95" t="s">
        <v>206</v>
      </c>
    </row>
    <row r="96" spans="1:184" x14ac:dyDescent="0.3">
      <c r="A96">
        <v>19241490</v>
      </c>
      <c r="B96">
        <v>840295</v>
      </c>
      <c r="C96" t="str">
        <f>"150627602282"</f>
        <v>150627602282</v>
      </c>
      <c r="D96" t="s">
        <v>579</v>
      </c>
      <c r="E96" t="s">
        <v>580</v>
      </c>
      <c r="F96" t="s">
        <v>581</v>
      </c>
      <c r="G96" s="1">
        <v>42182</v>
      </c>
      <c r="I96" t="s">
        <v>199</v>
      </c>
      <c r="J96" t="s">
        <v>200</v>
      </c>
      <c r="K96" t="s">
        <v>201</v>
      </c>
      <c r="R96" t="str">
        <f>"КАЗАХСТАН, АКМОЛИНСКАЯ, СТЕПНОГОРСК, 12, 30"</f>
        <v>КАЗАХСТАН, АКМОЛИНСКАЯ, СТЕПНОГОРСК, 12, 30</v>
      </c>
      <c r="S96" t="str">
        <f>"ҚАЗАҚСТАН, АҚМОЛА, СТЕПНОГОР, 12, 30"</f>
        <v>ҚАЗАҚСТАН, АҚМОЛА, СТЕПНОГОР, 12, 30</v>
      </c>
      <c r="T96" t="str">
        <f>"12, 30"</f>
        <v>12, 30</v>
      </c>
      <c r="U96" t="str">
        <f>"12, 30"</f>
        <v>12, 30</v>
      </c>
      <c r="AC96" t="str">
        <f>"2021-05-05T00:00:00"</f>
        <v>2021-05-05T00:00:00</v>
      </c>
      <c r="AD96" t="str">
        <f>"135"</f>
        <v>135</v>
      </c>
      <c r="AG96" t="s">
        <v>202</v>
      </c>
      <c r="AI96" t="s">
        <v>299</v>
      </c>
      <c r="AJ96" t="s">
        <v>540</v>
      </c>
      <c r="AK96" t="s">
        <v>253</v>
      </c>
      <c r="AL96" t="s">
        <v>206</v>
      </c>
      <c r="AN96" t="s">
        <v>254</v>
      </c>
      <c r="AO96">
        <v>2</v>
      </c>
      <c r="AP96" t="s">
        <v>208</v>
      </c>
      <c r="AQ96" t="s">
        <v>209</v>
      </c>
      <c r="AR96" t="s">
        <v>502</v>
      </c>
      <c r="AW96" t="s">
        <v>212</v>
      </c>
      <c r="AZ96" t="s">
        <v>209</v>
      </c>
      <c r="BI96" t="s">
        <v>212</v>
      </c>
      <c r="BJ96" t="s">
        <v>213</v>
      </c>
      <c r="BK96" t="s">
        <v>214</v>
      </c>
      <c r="BL96" t="s">
        <v>357</v>
      </c>
      <c r="BN96" t="s">
        <v>216</v>
      </c>
      <c r="BO96" t="s">
        <v>209</v>
      </c>
      <c r="BP96" t="s">
        <v>241</v>
      </c>
      <c r="BQ96">
        <v>5</v>
      </c>
      <c r="BS96" t="s">
        <v>219</v>
      </c>
      <c r="BT96" t="s">
        <v>220</v>
      </c>
      <c r="BU96" t="s">
        <v>206</v>
      </c>
      <c r="BZ96" t="s">
        <v>541</v>
      </c>
      <c r="CA96" t="s">
        <v>287</v>
      </c>
      <c r="CC96" t="s">
        <v>222</v>
      </c>
      <c r="CD96" t="s">
        <v>223</v>
      </c>
      <c r="CE96" t="s">
        <v>242</v>
      </c>
      <c r="CJ96" t="s">
        <v>206</v>
      </c>
      <c r="CK96" t="s">
        <v>230</v>
      </c>
      <c r="CL96" t="s">
        <v>231</v>
      </c>
      <c r="CM96" t="s">
        <v>232</v>
      </c>
      <c r="CN96" t="s">
        <v>233</v>
      </c>
      <c r="CP96" t="s">
        <v>212</v>
      </c>
      <c r="CQ96" t="s">
        <v>212</v>
      </c>
      <c r="CR96" t="s">
        <v>212</v>
      </c>
      <c r="CS96" t="s">
        <v>212</v>
      </c>
      <c r="CY96" t="s">
        <v>212</v>
      </c>
      <c r="DB96" t="s">
        <v>234</v>
      </c>
      <c r="DE96" t="s">
        <v>212</v>
      </c>
      <c r="DF96" t="s">
        <v>212</v>
      </c>
      <c r="DG96" t="s">
        <v>235</v>
      </c>
      <c r="DH96" t="s">
        <v>212</v>
      </c>
      <c r="DJ96" t="s">
        <v>236</v>
      </c>
      <c r="DM96" t="s">
        <v>212</v>
      </c>
      <c r="GB96" t="s">
        <v>206</v>
      </c>
    </row>
    <row r="97" spans="1:184" x14ac:dyDescent="0.3">
      <c r="A97">
        <v>19274314</v>
      </c>
      <c r="B97">
        <v>807214</v>
      </c>
      <c r="C97" t="str">
        <f>"150329600147"</f>
        <v>150329600147</v>
      </c>
      <c r="D97" t="s">
        <v>582</v>
      </c>
      <c r="E97" t="s">
        <v>516</v>
      </c>
      <c r="F97" t="s">
        <v>583</v>
      </c>
      <c r="G97" s="1">
        <v>42092</v>
      </c>
      <c r="I97" t="s">
        <v>199</v>
      </c>
      <c r="J97" t="s">
        <v>200</v>
      </c>
      <c r="K97" t="s">
        <v>260</v>
      </c>
      <c r="R97" t="str">
        <f>"КАЗАХСТАН, АКМОЛИНСКАЯ, СТЕПНОГОРСК, 33, 69"</f>
        <v>КАЗАХСТАН, АКМОЛИНСКАЯ, СТЕПНОГОРСК, 33, 69</v>
      </c>
      <c r="S97" t="str">
        <f>"ҚАЗАҚСТАН, АҚМОЛА, СТЕПНОГОР, 33, 69"</f>
        <v>ҚАЗАҚСТАН, АҚМОЛА, СТЕПНОГОР, 33, 69</v>
      </c>
      <c r="T97" t="str">
        <f>"33, 69"</f>
        <v>33, 69</v>
      </c>
      <c r="U97" t="str">
        <f>"33, 69"</f>
        <v>33, 69</v>
      </c>
      <c r="AC97" t="str">
        <f>"2021-05-20T00:00:00"</f>
        <v>2021-05-20T00:00:00</v>
      </c>
      <c r="AD97" t="str">
        <f>"135"</f>
        <v>135</v>
      </c>
      <c r="AE97" t="str">
        <f>"2023-09-01T09:14:53"</f>
        <v>2023-09-01T09:14:53</v>
      </c>
      <c r="AF97" t="str">
        <f>"2024-05-25T09:14:53"</f>
        <v>2024-05-25T09:14:53</v>
      </c>
      <c r="AG97" t="s">
        <v>202</v>
      </c>
      <c r="AI97" t="s">
        <v>299</v>
      </c>
      <c r="AJ97" t="s">
        <v>540</v>
      </c>
      <c r="AK97" t="s">
        <v>205</v>
      </c>
      <c r="AL97" t="s">
        <v>206</v>
      </c>
      <c r="AN97" t="s">
        <v>207</v>
      </c>
      <c r="AO97">
        <v>2</v>
      </c>
      <c r="AP97" t="s">
        <v>208</v>
      </c>
      <c r="AQ97" t="s">
        <v>209</v>
      </c>
      <c r="AR97" t="s">
        <v>502</v>
      </c>
      <c r="AW97" t="s">
        <v>212</v>
      </c>
      <c r="AZ97" t="s">
        <v>209</v>
      </c>
      <c r="BI97" t="s">
        <v>212</v>
      </c>
      <c r="BJ97" t="s">
        <v>213</v>
      </c>
      <c r="BK97" t="s">
        <v>214</v>
      </c>
      <c r="BL97" t="s">
        <v>357</v>
      </c>
      <c r="BN97" t="s">
        <v>216</v>
      </c>
      <c r="BO97" t="s">
        <v>209</v>
      </c>
      <c r="BP97" t="s">
        <v>241</v>
      </c>
      <c r="BQ97">
        <v>4</v>
      </c>
      <c r="BS97" t="s">
        <v>219</v>
      </c>
      <c r="BT97" t="s">
        <v>220</v>
      </c>
      <c r="BU97" t="s">
        <v>206</v>
      </c>
      <c r="BZ97" t="s">
        <v>541</v>
      </c>
      <c r="CA97" t="s">
        <v>287</v>
      </c>
      <c r="CC97" t="s">
        <v>224</v>
      </c>
      <c r="CD97" t="s">
        <v>223</v>
      </c>
      <c r="CE97" t="s">
        <v>242</v>
      </c>
      <c r="CJ97" t="s">
        <v>206</v>
      </c>
      <c r="CK97" t="s">
        <v>230</v>
      </c>
      <c r="CL97" t="s">
        <v>231</v>
      </c>
      <c r="CM97" t="s">
        <v>584</v>
      </c>
      <c r="CN97" t="s">
        <v>233</v>
      </c>
      <c r="CP97" t="s">
        <v>212</v>
      </c>
      <c r="CQ97" t="s">
        <v>212</v>
      </c>
      <c r="CR97" t="s">
        <v>212</v>
      </c>
      <c r="CS97" t="s">
        <v>212</v>
      </c>
      <c r="CY97" t="s">
        <v>206</v>
      </c>
      <c r="CZ97" t="str">
        <f>"2023-10-10T10:55:25"</f>
        <v>2023-10-10T10:55:25</v>
      </c>
      <c r="DB97" t="s">
        <v>234</v>
      </c>
      <c r="DE97" t="s">
        <v>212</v>
      </c>
      <c r="DF97" t="s">
        <v>212</v>
      </c>
      <c r="DG97" t="s">
        <v>235</v>
      </c>
      <c r="DH97" t="s">
        <v>212</v>
      </c>
      <c r="DJ97" t="s">
        <v>236</v>
      </c>
      <c r="DM97" t="s">
        <v>212</v>
      </c>
      <c r="GB97" t="s">
        <v>206</v>
      </c>
    </row>
    <row r="98" spans="1:184" x14ac:dyDescent="0.3">
      <c r="A98">
        <v>19309961</v>
      </c>
      <c r="B98">
        <v>9068199</v>
      </c>
      <c r="C98" t="str">
        <f>"141005600047"</f>
        <v>141005600047</v>
      </c>
      <c r="D98" t="s">
        <v>585</v>
      </c>
      <c r="E98" t="s">
        <v>586</v>
      </c>
      <c r="F98" t="s">
        <v>587</v>
      </c>
      <c r="G98" s="1">
        <v>41917</v>
      </c>
      <c r="I98" t="s">
        <v>199</v>
      </c>
      <c r="J98" t="s">
        <v>200</v>
      </c>
      <c r="K98" t="s">
        <v>201</v>
      </c>
      <c r="R98" t="str">
        <f>"КАЗАХСТАН, АКМОЛИНСКАЯ, СТЕПНОГОРСК, Бестобе, 44"</f>
        <v>КАЗАХСТАН, АКМОЛИНСКАЯ, СТЕПНОГОРСК, Бестобе, 44</v>
      </c>
      <c r="S98" t="str">
        <f>"ҚАЗАҚСТАН, АҚМОЛА, СТЕПНОГОР, Бестобе, 44"</f>
        <v>ҚАЗАҚСТАН, АҚМОЛА, СТЕПНОГОР, Бестобе, 44</v>
      </c>
      <c r="T98" t="str">
        <f>"Бестобе, 44"</f>
        <v>Бестобе, 44</v>
      </c>
      <c r="U98" t="str">
        <f>"Бестобе, 44"</f>
        <v>Бестобе, 44</v>
      </c>
      <c r="AC98" t="str">
        <f>"2021-05-27T00:00:00"</f>
        <v>2021-05-27T00:00:00</v>
      </c>
      <c r="AD98" t="str">
        <f>"71"</f>
        <v>71</v>
      </c>
      <c r="AE98" t="str">
        <f>"2023-09-01T17:05:26"</f>
        <v>2023-09-01T17:05:26</v>
      </c>
      <c r="AF98" t="str">
        <f>"2024-05-25T17:05:26"</f>
        <v>2024-05-25T17:05:26</v>
      </c>
      <c r="AG98" t="s">
        <v>202</v>
      </c>
      <c r="AI98" t="s">
        <v>269</v>
      </c>
      <c r="AJ98" t="s">
        <v>540</v>
      </c>
      <c r="AK98" t="s">
        <v>253</v>
      </c>
      <c r="AL98" t="s">
        <v>206</v>
      </c>
      <c r="AN98" t="s">
        <v>254</v>
      </c>
      <c r="AO98">
        <v>2</v>
      </c>
      <c r="AP98" t="s">
        <v>208</v>
      </c>
      <c r="AQ98" t="s">
        <v>209</v>
      </c>
      <c r="AR98" t="s">
        <v>502</v>
      </c>
      <c r="AW98" t="s">
        <v>212</v>
      </c>
      <c r="AZ98" t="s">
        <v>209</v>
      </c>
      <c r="BI98" t="s">
        <v>212</v>
      </c>
      <c r="BJ98" t="s">
        <v>213</v>
      </c>
      <c r="BK98" t="s">
        <v>214</v>
      </c>
      <c r="BL98" t="s">
        <v>357</v>
      </c>
      <c r="BN98" t="s">
        <v>281</v>
      </c>
      <c r="BO98" t="s">
        <v>209</v>
      </c>
      <c r="BP98" t="s">
        <v>241</v>
      </c>
      <c r="BQ98">
        <v>5</v>
      </c>
      <c r="BS98" t="s">
        <v>219</v>
      </c>
      <c r="BT98" t="s">
        <v>220</v>
      </c>
      <c r="BU98" t="s">
        <v>206</v>
      </c>
      <c r="BZ98" t="s">
        <v>541</v>
      </c>
      <c r="CA98" t="s">
        <v>287</v>
      </c>
      <c r="CC98" t="s">
        <v>222</v>
      </c>
      <c r="CD98" t="s">
        <v>223</v>
      </c>
      <c r="CE98" t="s">
        <v>242</v>
      </c>
      <c r="CJ98" t="s">
        <v>206</v>
      </c>
      <c r="CK98" t="s">
        <v>230</v>
      </c>
      <c r="CL98" t="s">
        <v>231</v>
      </c>
      <c r="CM98" t="s">
        <v>232</v>
      </c>
      <c r="CN98" t="s">
        <v>233</v>
      </c>
      <c r="CP98" t="s">
        <v>212</v>
      </c>
      <c r="CQ98" t="s">
        <v>212</v>
      </c>
      <c r="CR98" t="s">
        <v>212</v>
      </c>
      <c r="CS98" t="s">
        <v>212</v>
      </c>
      <c r="CY98" t="s">
        <v>212</v>
      </c>
      <c r="DB98" t="s">
        <v>234</v>
      </c>
      <c r="DE98" t="s">
        <v>212</v>
      </c>
      <c r="DF98" t="s">
        <v>212</v>
      </c>
      <c r="DG98" t="s">
        <v>235</v>
      </c>
      <c r="DH98" t="s">
        <v>212</v>
      </c>
      <c r="DJ98" t="s">
        <v>236</v>
      </c>
      <c r="DM98" t="s">
        <v>206</v>
      </c>
    </row>
    <row r="99" spans="1:184" x14ac:dyDescent="0.3">
      <c r="A99">
        <v>19376117</v>
      </c>
      <c r="B99">
        <v>11316957</v>
      </c>
      <c r="C99" t="str">
        <f>"150613501549"</f>
        <v>150613501549</v>
      </c>
      <c r="D99" t="s">
        <v>588</v>
      </c>
      <c r="E99" t="s">
        <v>589</v>
      </c>
      <c r="F99" t="s">
        <v>558</v>
      </c>
      <c r="G99" s="1">
        <v>42168</v>
      </c>
      <c r="I99" t="s">
        <v>240</v>
      </c>
      <c r="J99" t="s">
        <v>200</v>
      </c>
      <c r="K99" t="s">
        <v>201</v>
      </c>
      <c r="Q99" t="s">
        <v>212</v>
      </c>
      <c r="R99" t="str">
        <f>"КАЗАХСТАН, АКМОЛИНСКАЯ, СТЕПНОГОРСК, 11А, 39"</f>
        <v>КАЗАХСТАН, АКМОЛИНСКАЯ, СТЕПНОГОРСК, 11А, 39</v>
      </c>
      <c r="S99" t="str">
        <f>"ҚАЗАҚСТАН, АҚМОЛА, СТЕПНОГОР, 11А, 39"</f>
        <v>ҚАЗАҚСТАН, АҚМОЛА, СТЕПНОГОР, 11А, 39</v>
      </c>
      <c r="T99" t="str">
        <f>"11А, 39"</f>
        <v>11А, 39</v>
      </c>
      <c r="U99" t="str">
        <f>"11А, 39"</f>
        <v>11А, 39</v>
      </c>
      <c r="AC99" t="str">
        <f>"2021-06-14T00:00:00"</f>
        <v>2021-06-14T00:00:00</v>
      </c>
      <c r="AD99" t="str">
        <f>"135"</f>
        <v>135</v>
      </c>
      <c r="AG99" t="s">
        <v>202</v>
      </c>
      <c r="AI99" t="s">
        <v>299</v>
      </c>
      <c r="AJ99" t="s">
        <v>540</v>
      </c>
      <c r="AK99" t="s">
        <v>205</v>
      </c>
      <c r="AL99" t="s">
        <v>206</v>
      </c>
      <c r="AN99" t="s">
        <v>207</v>
      </c>
      <c r="AO99">
        <v>2</v>
      </c>
      <c r="AP99" t="s">
        <v>208</v>
      </c>
      <c r="AQ99" t="s">
        <v>209</v>
      </c>
      <c r="AR99" t="s">
        <v>502</v>
      </c>
      <c r="AW99" t="s">
        <v>212</v>
      </c>
      <c r="AZ99" t="s">
        <v>209</v>
      </c>
      <c r="BI99" t="s">
        <v>212</v>
      </c>
      <c r="BJ99" t="s">
        <v>213</v>
      </c>
      <c r="BK99" t="s">
        <v>214</v>
      </c>
      <c r="BL99" t="s">
        <v>357</v>
      </c>
      <c r="BN99" t="s">
        <v>247</v>
      </c>
      <c r="BO99" t="s">
        <v>209</v>
      </c>
      <c r="BP99" t="s">
        <v>241</v>
      </c>
      <c r="BQ99">
        <v>3</v>
      </c>
      <c r="BS99" t="s">
        <v>219</v>
      </c>
      <c r="BT99" t="s">
        <v>220</v>
      </c>
      <c r="BU99" t="s">
        <v>206</v>
      </c>
      <c r="BZ99" t="s">
        <v>541</v>
      </c>
      <c r="CA99" t="s">
        <v>287</v>
      </c>
      <c r="CC99" t="s">
        <v>222</v>
      </c>
      <c r="CD99" t="s">
        <v>223</v>
      </c>
      <c r="CE99" t="s">
        <v>242</v>
      </c>
      <c r="CJ99" t="s">
        <v>206</v>
      </c>
      <c r="CK99" t="s">
        <v>230</v>
      </c>
      <c r="CL99" t="s">
        <v>231</v>
      </c>
      <c r="CM99" t="s">
        <v>232</v>
      </c>
      <c r="CN99" t="s">
        <v>233</v>
      </c>
      <c r="CP99" t="s">
        <v>212</v>
      </c>
      <c r="CQ99" t="s">
        <v>212</v>
      </c>
      <c r="CR99" t="s">
        <v>212</v>
      </c>
      <c r="CS99" t="s">
        <v>212</v>
      </c>
      <c r="CY99" t="s">
        <v>212</v>
      </c>
      <c r="DB99" t="s">
        <v>234</v>
      </c>
      <c r="DE99" t="s">
        <v>212</v>
      </c>
      <c r="DF99" t="s">
        <v>212</v>
      </c>
      <c r="DG99" t="s">
        <v>235</v>
      </c>
      <c r="DH99" t="s">
        <v>212</v>
      </c>
      <c r="DJ99" t="s">
        <v>236</v>
      </c>
      <c r="DM99" t="s">
        <v>212</v>
      </c>
      <c r="GB99" t="s">
        <v>206</v>
      </c>
    </row>
    <row r="100" spans="1:184" x14ac:dyDescent="0.3">
      <c r="A100">
        <v>19518262</v>
      </c>
      <c r="B100">
        <v>7383826</v>
      </c>
      <c r="C100" t="str">
        <f>"151104502314"</f>
        <v>151104502314</v>
      </c>
      <c r="D100" t="s">
        <v>590</v>
      </c>
      <c r="E100" t="s">
        <v>591</v>
      </c>
      <c r="F100" t="s">
        <v>592</v>
      </c>
      <c r="G100" s="1">
        <v>42312</v>
      </c>
      <c r="I100" t="s">
        <v>240</v>
      </c>
      <c r="J100" t="s">
        <v>200</v>
      </c>
      <c r="K100" t="s">
        <v>201</v>
      </c>
      <c r="R100" t="str">
        <f>"КАЗАХСТАН, АКМОЛИНСКАЯ, СТЕПНОГОРСК, 20, 53"</f>
        <v>КАЗАХСТАН, АКМОЛИНСКАЯ, СТЕПНОГОРСК, 20, 53</v>
      </c>
      <c r="S100" t="str">
        <f>"ҚАЗАҚСТАН, АҚМОЛА, СТЕПНОГОР, 20, 53"</f>
        <v>ҚАЗАҚСТАН, АҚМОЛА, СТЕПНОГОР, 20, 53</v>
      </c>
      <c r="T100" t="str">
        <f>"20, 53"</f>
        <v>20, 53</v>
      </c>
      <c r="U100" t="str">
        <f>"20, 53"</f>
        <v>20, 53</v>
      </c>
      <c r="AC100" t="str">
        <f>"2021-06-26T00:00:00"</f>
        <v>2021-06-26T00:00:00</v>
      </c>
      <c r="AD100" t="str">
        <f>"135"</f>
        <v>135</v>
      </c>
      <c r="AE100" t="str">
        <f>"2023-09-01T23:14:56"</f>
        <v>2023-09-01T23:14:56</v>
      </c>
      <c r="AF100" t="str">
        <f>"2024-05-25T23:14:56"</f>
        <v>2024-05-25T23:14:56</v>
      </c>
      <c r="AG100" t="s">
        <v>202</v>
      </c>
      <c r="AI100" t="s">
        <v>299</v>
      </c>
      <c r="AJ100" t="s">
        <v>540</v>
      </c>
      <c r="AK100" t="s">
        <v>253</v>
      </c>
      <c r="AL100" t="s">
        <v>206</v>
      </c>
      <c r="AN100" t="s">
        <v>254</v>
      </c>
      <c r="AO100">
        <v>2</v>
      </c>
      <c r="AP100" t="s">
        <v>208</v>
      </c>
      <c r="AQ100" t="s">
        <v>209</v>
      </c>
      <c r="AR100" t="s">
        <v>502</v>
      </c>
      <c r="AW100" t="s">
        <v>212</v>
      </c>
      <c r="AZ100" t="s">
        <v>209</v>
      </c>
      <c r="BI100" t="s">
        <v>212</v>
      </c>
      <c r="BJ100" t="s">
        <v>213</v>
      </c>
      <c r="BK100" t="s">
        <v>214</v>
      </c>
      <c r="BL100" t="s">
        <v>357</v>
      </c>
      <c r="BN100" t="s">
        <v>281</v>
      </c>
      <c r="BO100" t="s">
        <v>209</v>
      </c>
      <c r="BP100" t="s">
        <v>241</v>
      </c>
      <c r="BQ100">
        <v>5</v>
      </c>
      <c r="BS100" t="s">
        <v>219</v>
      </c>
      <c r="BT100" t="s">
        <v>220</v>
      </c>
      <c r="BU100" t="s">
        <v>206</v>
      </c>
      <c r="BZ100" t="s">
        <v>541</v>
      </c>
      <c r="CA100" t="s">
        <v>287</v>
      </c>
      <c r="CC100" t="s">
        <v>222</v>
      </c>
      <c r="CD100" t="s">
        <v>223</v>
      </c>
      <c r="CE100" t="s">
        <v>242</v>
      </c>
      <c r="CJ100" t="s">
        <v>206</v>
      </c>
      <c r="CK100" t="s">
        <v>230</v>
      </c>
      <c r="CL100" t="s">
        <v>231</v>
      </c>
      <c r="CM100" t="s">
        <v>232</v>
      </c>
      <c r="CN100" t="s">
        <v>233</v>
      </c>
      <c r="CP100" t="s">
        <v>212</v>
      </c>
      <c r="CQ100" t="s">
        <v>212</v>
      </c>
      <c r="CR100" t="s">
        <v>212</v>
      </c>
      <c r="CS100" t="s">
        <v>212</v>
      </c>
      <c r="CY100" t="s">
        <v>212</v>
      </c>
      <c r="DB100" t="s">
        <v>234</v>
      </c>
      <c r="DE100" t="s">
        <v>212</v>
      </c>
      <c r="DF100" t="s">
        <v>212</v>
      </c>
      <c r="DG100" t="s">
        <v>235</v>
      </c>
      <c r="DH100" t="s">
        <v>212</v>
      </c>
      <c r="DJ100" t="s">
        <v>236</v>
      </c>
      <c r="DM100" t="s">
        <v>212</v>
      </c>
      <c r="GB100" t="s">
        <v>206</v>
      </c>
    </row>
    <row r="101" spans="1:184" x14ac:dyDescent="0.3">
      <c r="A101">
        <v>19639885</v>
      </c>
      <c r="B101">
        <v>175772</v>
      </c>
      <c r="C101" t="str">
        <f>"110515503812"</f>
        <v>110515503812</v>
      </c>
      <c r="D101" t="s">
        <v>593</v>
      </c>
      <c r="E101" t="s">
        <v>594</v>
      </c>
      <c r="F101" t="s">
        <v>595</v>
      </c>
      <c r="G101" s="1">
        <v>40678</v>
      </c>
      <c r="I101" t="s">
        <v>240</v>
      </c>
      <c r="J101" t="s">
        <v>200</v>
      </c>
      <c r="K101" t="s">
        <v>201</v>
      </c>
      <c r="Q101" t="s">
        <v>212</v>
      </c>
      <c r="R101" t="str">
        <f>"КАЗАХСТАН, АКМОЛИНСКАЯ, СТЕПНОГОРСК, 26, 28"</f>
        <v>КАЗАХСТАН, АКМОЛИНСКАЯ, СТЕПНОГОРСК, 26, 28</v>
      </c>
      <c r="S101" t="str">
        <f>"ҚАЗАҚСТАН, АҚМОЛА, СТЕПНОГОР, 26, 28"</f>
        <v>ҚАЗАҚСТАН, АҚМОЛА, СТЕПНОГОР, 26, 28</v>
      </c>
      <c r="T101" t="str">
        <f>"26, 28"</f>
        <v>26, 28</v>
      </c>
      <c r="U101" t="str">
        <f>"26, 28"</f>
        <v>26, 28</v>
      </c>
      <c r="AC101" t="str">
        <f>"2021-08-02T00:00:00"</f>
        <v>2021-08-02T00:00:00</v>
      </c>
      <c r="AD101" t="str">
        <f>"102"</f>
        <v>102</v>
      </c>
      <c r="AG101" t="s">
        <v>202</v>
      </c>
      <c r="AI101" t="s">
        <v>274</v>
      </c>
      <c r="AJ101" t="s">
        <v>348</v>
      </c>
      <c r="AK101" t="s">
        <v>261</v>
      </c>
      <c r="AL101" t="s">
        <v>206</v>
      </c>
      <c r="AN101" t="s">
        <v>207</v>
      </c>
      <c r="AO101">
        <v>1</v>
      </c>
      <c r="AP101" t="s">
        <v>208</v>
      </c>
      <c r="AQ101" t="s">
        <v>209</v>
      </c>
      <c r="AR101" t="s">
        <v>307</v>
      </c>
      <c r="AW101" t="s">
        <v>206</v>
      </c>
      <c r="AX101" t="s">
        <v>211</v>
      </c>
      <c r="AZ101" t="s">
        <v>209</v>
      </c>
      <c r="BI101" t="s">
        <v>212</v>
      </c>
      <c r="BJ101" t="s">
        <v>213</v>
      </c>
      <c r="BK101" t="s">
        <v>214</v>
      </c>
      <c r="BL101" t="s">
        <v>215</v>
      </c>
      <c r="BN101" t="s">
        <v>247</v>
      </c>
      <c r="BO101" t="s">
        <v>209</v>
      </c>
      <c r="BP101" t="s">
        <v>241</v>
      </c>
      <c r="BQ101">
        <v>3</v>
      </c>
      <c r="BS101" t="s">
        <v>219</v>
      </c>
      <c r="BT101" t="s">
        <v>220</v>
      </c>
      <c r="BU101" t="s">
        <v>206</v>
      </c>
      <c r="CA101" t="s">
        <v>287</v>
      </c>
      <c r="CC101" t="s">
        <v>222</v>
      </c>
      <c r="CD101" t="s">
        <v>223</v>
      </c>
      <c r="CE101" t="s">
        <v>242</v>
      </c>
      <c r="CJ101" t="s">
        <v>206</v>
      </c>
      <c r="CK101" t="s">
        <v>230</v>
      </c>
      <c r="CL101" t="s">
        <v>231</v>
      </c>
      <c r="CM101" t="s">
        <v>232</v>
      </c>
      <c r="CN101" t="s">
        <v>233</v>
      </c>
      <c r="CP101" t="s">
        <v>212</v>
      </c>
      <c r="CQ101" t="s">
        <v>212</v>
      </c>
      <c r="CR101" t="s">
        <v>212</v>
      </c>
      <c r="CS101" t="s">
        <v>212</v>
      </c>
      <c r="CY101" t="s">
        <v>212</v>
      </c>
      <c r="DB101" t="s">
        <v>234</v>
      </c>
      <c r="DE101" t="s">
        <v>212</v>
      </c>
      <c r="DF101" t="s">
        <v>212</v>
      </c>
      <c r="DG101" t="s">
        <v>235</v>
      </c>
      <c r="DH101" t="s">
        <v>212</v>
      </c>
      <c r="DJ101" t="s">
        <v>236</v>
      </c>
      <c r="DM101" t="s">
        <v>212</v>
      </c>
    </row>
    <row r="102" spans="1:184" x14ac:dyDescent="0.3">
      <c r="A102">
        <v>19639887</v>
      </c>
      <c r="B102">
        <v>9084253</v>
      </c>
      <c r="C102" t="str">
        <f>"080212654560"</f>
        <v>080212654560</v>
      </c>
      <c r="D102" t="s">
        <v>596</v>
      </c>
      <c r="E102" t="s">
        <v>597</v>
      </c>
      <c r="F102" t="s">
        <v>598</v>
      </c>
      <c r="G102" s="1">
        <v>39490</v>
      </c>
      <c r="I102" t="s">
        <v>199</v>
      </c>
      <c r="J102" t="s">
        <v>200</v>
      </c>
      <c r="K102" t="s">
        <v>201</v>
      </c>
      <c r="Q102" t="s">
        <v>212</v>
      </c>
      <c r="R102" t="str">
        <f>"АНДОРРА, АКМОЛИНСКАЯ, СТЕПНОГОРСК, 26, 28"</f>
        <v>АНДОРРА, АКМОЛИНСКАЯ, СТЕПНОГОРСК, 26, 28</v>
      </c>
      <c r="S102" t="str">
        <f>"АНДОРРА, АҚМОЛА, СТЕПНОГОР, 26, 28"</f>
        <v>АНДОРРА, АҚМОЛА, СТЕПНОГОР, 26, 28</v>
      </c>
      <c r="T102" t="str">
        <f>"26, 28"</f>
        <v>26, 28</v>
      </c>
      <c r="U102" t="str">
        <f>"26, 28"</f>
        <v>26, 28</v>
      </c>
      <c r="AC102" t="str">
        <f>"2021-08-02T00:00:00"</f>
        <v>2021-08-02T00:00:00</v>
      </c>
      <c r="AD102" t="str">
        <f>"105"</f>
        <v>105</v>
      </c>
      <c r="AG102" t="s">
        <v>202</v>
      </c>
      <c r="AH102" t="str">
        <f>"ckool007@mail.ru"</f>
        <v>ckool007@mail.ru</v>
      </c>
      <c r="AI102" t="s">
        <v>269</v>
      </c>
      <c r="AJ102" t="s">
        <v>204</v>
      </c>
      <c r="AK102" t="s">
        <v>261</v>
      </c>
      <c r="AL102" t="s">
        <v>206</v>
      </c>
      <c r="AN102" t="s">
        <v>207</v>
      </c>
      <c r="AO102">
        <v>1</v>
      </c>
      <c r="AP102" t="s">
        <v>208</v>
      </c>
      <c r="AQ102" t="s">
        <v>209</v>
      </c>
      <c r="AR102" t="s">
        <v>307</v>
      </c>
      <c r="AW102" t="s">
        <v>206</v>
      </c>
      <c r="AX102" t="s">
        <v>211</v>
      </c>
      <c r="AZ102" t="s">
        <v>209</v>
      </c>
      <c r="BI102" t="s">
        <v>212</v>
      </c>
      <c r="BJ102" t="s">
        <v>213</v>
      </c>
      <c r="BK102" t="s">
        <v>214</v>
      </c>
      <c r="BL102" t="s">
        <v>215</v>
      </c>
      <c r="BN102" t="s">
        <v>247</v>
      </c>
      <c r="BO102" t="s">
        <v>209</v>
      </c>
      <c r="BP102" t="s">
        <v>217</v>
      </c>
      <c r="BQ102" t="s">
        <v>599</v>
      </c>
      <c r="BS102" t="s">
        <v>219</v>
      </c>
      <c r="BT102" t="s">
        <v>220</v>
      </c>
      <c r="BU102" t="s">
        <v>206</v>
      </c>
      <c r="CA102" t="s">
        <v>249</v>
      </c>
      <c r="CB102" t="s">
        <v>223</v>
      </c>
      <c r="CC102" t="s">
        <v>209</v>
      </c>
      <c r="CE102" t="s">
        <v>342</v>
      </c>
      <c r="CF102" t="s">
        <v>391</v>
      </c>
      <c r="CG102" t="s">
        <v>343</v>
      </c>
      <c r="CH102" t="s">
        <v>209</v>
      </c>
      <c r="CI102" t="s">
        <v>600</v>
      </c>
      <c r="CJ102" t="s">
        <v>206</v>
      </c>
      <c r="CK102" t="s">
        <v>230</v>
      </c>
      <c r="CL102" t="s">
        <v>231</v>
      </c>
      <c r="CM102" t="s">
        <v>232</v>
      </c>
      <c r="CN102" t="s">
        <v>233</v>
      </c>
      <c r="CP102" t="s">
        <v>212</v>
      </c>
      <c r="CQ102" t="s">
        <v>212</v>
      </c>
      <c r="CR102" t="s">
        <v>212</v>
      </c>
      <c r="CS102" t="s">
        <v>212</v>
      </c>
      <c r="CY102" t="s">
        <v>212</v>
      </c>
      <c r="DB102" t="s">
        <v>234</v>
      </c>
      <c r="DE102" t="s">
        <v>212</v>
      </c>
      <c r="DF102" t="s">
        <v>212</v>
      </c>
      <c r="DG102" t="s">
        <v>235</v>
      </c>
      <c r="DH102" t="s">
        <v>212</v>
      </c>
      <c r="DJ102" t="s">
        <v>236</v>
      </c>
      <c r="DM102" t="s">
        <v>212</v>
      </c>
    </row>
    <row r="103" spans="1:184" x14ac:dyDescent="0.3">
      <c r="A103">
        <v>19666732</v>
      </c>
      <c r="B103">
        <v>8925358</v>
      </c>
      <c r="C103" t="str">
        <f>"150716505889"</f>
        <v>150716505889</v>
      </c>
      <c r="D103" t="s">
        <v>601</v>
      </c>
      <c r="E103" t="s">
        <v>602</v>
      </c>
      <c r="F103" t="s">
        <v>603</v>
      </c>
      <c r="G103" s="1">
        <v>42201</v>
      </c>
      <c r="I103" t="s">
        <v>240</v>
      </c>
      <c r="J103" t="s">
        <v>200</v>
      </c>
      <c r="K103" t="s">
        <v>201</v>
      </c>
      <c r="R103" t="str">
        <f>"КАЗАХСТАН, АКМОЛИНСКАЯ, СТЕПНОГОРСК, -, 48, 51"</f>
        <v>КАЗАХСТАН, АКМОЛИНСКАЯ, СТЕПНОГОРСК, -, 48, 51</v>
      </c>
      <c r="S103" t="str">
        <f>"ҚАЗАҚСТАН, АҚМОЛА, СТЕПНОГОР, -, 48, 51"</f>
        <v>ҚАЗАҚСТАН, АҚМОЛА, СТЕПНОГОР, -, 48, 51</v>
      </c>
      <c r="T103" t="str">
        <f>"-, 48, 51"</f>
        <v>-, 48, 51</v>
      </c>
      <c r="U103" t="str">
        <f>"-, 48, 51"</f>
        <v>-, 48, 51</v>
      </c>
      <c r="AC103" t="str">
        <f>"2021-07-30T00:00:00"</f>
        <v>2021-07-30T00:00:00</v>
      </c>
      <c r="AD103" t="str">
        <f>"135"</f>
        <v>135</v>
      </c>
      <c r="AE103" t="str">
        <f>"2023-09-01T23:31:56"</f>
        <v>2023-09-01T23:31:56</v>
      </c>
      <c r="AF103" t="str">
        <f>"2024-05-25T23:31:56"</f>
        <v>2024-05-25T23:31:56</v>
      </c>
      <c r="AG103" t="s">
        <v>202</v>
      </c>
      <c r="AI103" t="s">
        <v>274</v>
      </c>
      <c r="AJ103" t="s">
        <v>540</v>
      </c>
      <c r="AK103" t="s">
        <v>261</v>
      </c>
      <c r="AL103" t="s">
        <v>206</v>
      </c>
      <c r="AN103" t="s">
        <v>207</v>
      </c>
      <c r="AO103">
        <v>2</v>
      </c>
      <c r="AP103" t="s">
        <v>208</v>
      </c>
      <c r="AQ103" t="s">
        <v>209</v>
      </c>
      <c r="AR103" t="s">
        <v>502</v>
      </c>
      <c r="AW103" t="s">
        <v>212</v>
      </c>
      <c r="AZ103" t="s">
        <v>209</v>
      </c>
      <c r="BI103" t="s">
        <v>212</v>
      </c>
      <c r="BJ103" t="s">
        <v>213</v>
      </c>
      <c r="BK103" t="s">
        <v>214</v>
      </c>
      <c r="BL103" t="s">
        <v>357</v>
      </c>
      <c r="BN103" t="s">
        <v>216</v>
      </c>
      <c r="BO103" t="s">
        <v>209</v>
      </c>
      <c r="BP103" t="s">
        <v>241</v>
      </c>
      <c r="BQ103">
        <v>4</v>
      </c>
      <c r="BS103" t="s">
        <v>219</v>
      </c>
      <c r="BT103" t="s">
        <v>220</v>
      </c>
      <c r="BU103" t="s">
        <v>206</v>
      </c>
      <c r="BZ103" t="s">
        <v>541</v>
      </c>
      <c r="CA103" t="s">
        <v>287</v>
      </c>
      <c r="CC103" t="s">
        <v>301</v>
      </c>
      <c r="CD103" t="s">
        <v>223</v>
      </c>
      <c r="CE103" t="s">
        <v>242</v>
      </c>
      <c r="CJ103" t="s">
        <v>206</v>
      </c>
      <c r="CK103" t="s">
        <v>230</v>
      </c>
      <c r="CL103" t="s">
        <v>231</v>
      </c>
      <c r="CM103" t="s">
        <v>232</v>
      </c>
      <c r="CN103" t="s">
        <v>233</v>
      </c>
      <c r="CP103" t="s">
        <v>212</v>
      </c>
      <c r="CQ103" t="s">
        <v>212</v>
      </c>
      <c r="CR103" t="s">
        <v>212</v>
      </c>
      <c r="CS103" t="s">
        <v>212</v>
      </c>
      <c r="CY103" t="s">
        <v>212</v>
      </c>
      <c r="DB103" t="s">
        <v>234</v>
      </c>
      <c r="DE103" t="s">
        <v>212</v>
      </c>
      <c r="DF103" t="s">
        <v>212</v>
      </c>
      <c r="DG103" t="s">
        <v>235</v>
      </c>
      <c r="DH103" t="s">
        <v>212</v>
      </c>
      <c r="DJ103" t="s">
        <v>236</v>
      </c>
      <c r="DM103" t="s">
        <v>212</v>
      </c>
      <c r="GB103" t="s">
        <v>206</v>
      </c>
    </row>
    <row r="104" spans="1:184" x14ac:dyDescent="0.3">
      <c r="A104">
        <v>19982306</v>
      </c>
      <c r="B104">
        <v>770518</v>
      </c>
      <c r="C104" t="str">
        <f>"131216600171"</f>
        <v>131216600171</v>
      </c>
      <c r="D104" t="s">
        <v>604</v>
      </c>
      <c r="E104" t="s">
        <v>605</v>
      </c>
      <c r="F104" t="s">
        <v>606</v>
      </c>
      <c r="G104" s="1">
        <v>41624</v>
      </c>
      <c r="I104" t="s">
        <v>199</v>
      </c>
      <c r="J104" t="s">
        <v>200</v>
      </c>
      <c r="K104" t="s">
        <v>201</v>
      </c>
      <c r="R104" t="str">
        <f>"КАЗАХСТАН, АКМОЛИНСКАЯ, СТЕПНОГОРСК, 35, 29"</f>
        <v>КАЗАХСТАН, АКМОЛИНСКАЯ, СТЕПНОГОРСК, 35, 29</v>
      </c>
      <c r="S104" t="str">
        <f>"ҚАЗАҚСТАН, АҚМОЛА, СТЕПНОГОР, 35, 29"</f>
        <v>ҚАЗАҚСТАН, АҚМОЛА, СТЕПНОГОР, 35, 29</v>
      </c>
      <c r="T104" t="str">
        <f>"35, 29"</f>
        <v>35, 29</v>
      </c>
      <c r="U104" t="str">
        <f>"35, 29"</f>
        <v>35, 29</v>
      </c>
      <c r="AC104" t="str">
        <f>"2021-08-31T00:00:00"</f>
        <v>2021-08-31T00:00:00</v>
      </c>
      <c r="AD104" t="str">
        <f>"185"</f>
        <v>185</v>
      </c>
      <c r="AE104" t="str">
        <f>"2023-09-01T10:05:47"</f>
        <v>2023-09-01T10:05:47</v>
      </c>
      <c r="AF104" t="str">
        <f>"2024-05-25T10:05:47"</f>
        <v>2024-05-25T10:05:47</v>
      </c>
      <c r="AG104" t="s">
        <v>202</v>
      </c>
      <c r="AI104" t="s">
        <v>299</v>
      </c>
      <c r="AJ104" t="s">
        <v>501</v>
      </c>
      <c r="AK104" t="s">
        <v>253</v>
      </c>
      <c r="AL104" t="s">
        <v>206</v>
      </c>
      <c r="AN104" t="s">
        <v>254</v>
      </c>
      <c r="AO104">
        <v>1</v>
      </c>
      <c r="AP104" t="s">
        <v>208</v>
      </c>
      <c r="AQ104" t="s">
        <v>209</v>
      </c>
      <c r="AR104" t="s">
        <v>502</v>
      </c>
      <c r="AW104" t="s">
        <v>212</v>
      </c>
      <c r="AZ104" t="s">
        <v>209</v>
      </c>
      <c r="BI104" t="s">
        <v>212</v>
      </c>
      <c r="BJ104" t="s">
        <v>213</v>
      </c>
      <c r="BK104" t="s">
        <v>214</v>
      </c>
      <c r="BL104" t="s">
        <v>357</v>
      </c>
      <c r="BN104" t="s">
        <v>216</v>
      </c>
      <c r="BO104" t="s">
        <v>209</v>
      </c>
      <c r="BP104" t="s">
        <v>607</v>
      </c>
      <c r="BQ104">
        <v>4</v>
      </c>
      <c r="BS104" t="s">
        <v>219</v>
      </c>
      <c r="BT104" t="s">
        <v>220</v>
      </c>
      <c r="BU104" t="s">
        <v>206</v>
      </c>
      <c r="BZ104" t="s">
        <v>503</v>
      </c>
      <c r="CA104" t="s">
        <v>287</v>
      </c>
      <c r="CC104" t="s">
        <v>222</v>
      </c>
      <c r="CD104" t="s">
        <v>223</v>
      </c>
      <c r="CE104" t="s">
        <v>242</v>
      </c>
      <c r="CJ104" t="s">
        <v>206</v>
      </c>
      <c r="CK104" t="s">
        <v>230</v>
      </c>
      <c r="CL104" t="s">
        <v>231</v>
      </c>
      <c r="CM104" t="s">
        <v>232</v>
      </c>
      <c r="CN104" t="s">
        <v>233</v>
      </c>
      <c r="CP104" t="s">
        <v>212</v>
      </c>
      <c r="CQ104" t="s">
        <v>212</v>
      </c>
      <c r="CR104" t="s">
        <v>212</v>
      </c>
      <c r="CS104" t="s">
        <v>212</v>
      </c>
      <c r="CY104" t="s">
        <v>212</v>
      </c>
      <c r="DB104" t="s">
        <v>234</v>
      </c>
      <c r="DE104" t="s">
        <v>212</v>
      </c>
      <c r="DF104" t="s">
        <v>212</v>
      </c>
      <c r="DG104" t="s">
        <v>235</v>
      </c>
      <c r="DH104" t="s">
        <v>212</v>
      </c>
      <c r="DJ104" t="s">
        <v>236</v>
      </c>
      <c r="DM104" t="s">
        <v>206</v>
      </c>
    </row>
    <row r="105" spans="1:184" x14ac:dyDescent="0.3">
      <c r="A105">
        <v>20154443</v>
      </c>
      <c r="B105">
        <v>114990</v>
      </c>
      <c r="C105" t="str">
        <f>"110601605892"</f>
        <v>110601605892</v>
      </c>
      <c r="D105" t="s">
        <v>608</v>
      </c>
      <c r="E105" t="s">
        <v>279</v>
      </c>
      <c r="F105" t="s">
        <v>609</v>
      </c>
      <c r="G105" s="1">
        <v>40695</v>
      </c>
      <c r="I105" t="s">
        <v>199</v>
      </c>
      <c r="J105" t="s">
        <v>200</v>
      </c>
      <c r="K105" t="s">
        <v>201</v>
      </c>
      <c r="Q105" t="s">
        <v>212</v>
      </c>
      <c r="R105" t="str">
        <f>"КАЗАХСТАН, АКМОЛИНСКАЯ, СТЕПНОГОРСК, КЕНТI Аксу, 15, 2"</f>
        <v>КАЗАХСТАН, АКМОЛИНСКАЯ, СТЕПНОГОРСК, КЕНТI Аксу, 15, 2</v>
      </c>
      <c r="S105" t="str">
        <f>"ҚАЗАҚСТАН, АҚМОЛА, СТЕПНОГОР, КЕНТI Аксу, 15, 2"</f>
        <v>ҚАЗАҚСТАН, АҚМОЛА, СТЕПНОГОР, КЕНТI Аксу, 15, 2</v>
      </c>
      <c r="T105" t="str">
        <f>"КЕНТI Аксу, 15, 2"</f>
        <v>КЕНТI Аксу, 15, 2</v>
      </c>
      <c r="U105" t="str">
        <f>"КЕНТI Аксу, 15, 2"</f>
        <v>КЕНТI Аксу, 15, 2</v>
      </c>
      <c r="AC105" t="str">
        <f>"2021-08-26T00:00:00"</f>
        <v>2021-08-26T00:00:00</v>
      </c>
      <c r="AD105" t="str">
        <f>"133"</f>
        <v>133</v>
      </c>
      <c r="AG105" t="s">
        <v>202</v>
      </c>
      <c r="AI105" t="s">
        <v>269</v>
      </c>
      <c r="AJ105" t="s">
        <v>419</v>
      </c>
      <c r="AK105" t="s">
        <v>246</v>
      </c>
      <c r="AL105" t="s">
        <v>206</v>
      </c>
      <c r="AN105" t="s">
        <v>207</v>
      </c>
      <c r="AO105">
        <v>1</v>
      </c>
      <c r="AP105" t="s">
        <v>208</v>
      </c>
      <c r="AQ105" t="s">
        <v>209</v>
      </c>
      <c r="AR105" t="s">
        <v>210</v>
      </c>
      <c r="AW105" t="s">
        <v>206</v>
      </c>
      <c r="AX105" t="s">
        <v>211</v>
      </c>
      <c r="AZ105" t="s">
        <v>209</v>
      </c>
      <c r="BI105" t="s">
        <v>212</v>
      </c>
      <c r="BJ105" t="s">
        <v>213</v>
      </c>
      <c r="BK105" t="s">
        <v>214</v>
      </c>
      <c r="BL105" t="s">
        <v>215</v>
      </c>
      <c r="BN105" t="s">
        <v>216</v>
      </c>
      <c r="BO105" t="s">
        <v>209</v>
      </c>
      <c r="BP105" t="s">
        <v>241</v>
      </c>
      <c r="BQ105">
        <v>5</v>
      </c>
      <c r="BS105" t="s">
        <v>219</v>
      </c>
      <c r="BT105" t="s">
        <v>220</v>
      </c>
      <c r="BU105" t="s">
        <v>206</v>
      </c>
      <c r="CA105" t="s">
        <v>287</v>
      </c>
      <c r="CC105" t="s">
        <v>222</v>
      </c>
      <c r="CD105" t="s">
        <v>223</v>
      </c>
      <c r="CE105" t="s">
        <v>342</v>
      </c>
      <c r="CF105" t="s">
        <v>610</v>
      </c>
      <c r="CG105" t="s">
        <v>611</v>
      </c>
      <c r="CH105" t="s">
        <v>228</v>
      </c>
      <c r="CI105" t="s">
        <v>612</v>
      </c>
      <c r="CJ105" t="s">
        <v>206</v>
      </c>
      <c r="CK105" t="s">
        <v>230</v>
      </c>
      <c r="CL105" t="s">
        <v>231</v>
      </c>
      <c r="CM105" t="s">
        <v>232</v>
      </c>
      <c r="CN105" t="s">
        <v>233</v>
      </c>
      <c r="CP105" t="s">
        <v>212</v>
      </c>
      <c r="CQ105" t="s">
        <v>212</v>
      </c>
      <c r="CR105" t="s">
        <v>212</v>
      </c>
      <c r="CS105" t="s">
        <v>212</v>
      </c>
      <c r="CY105" t="s">
        <v>212</v>
      </c>
      <c r="DB105" t="s">
        <v>234</v>
      </c>
      <c r="DE105" t="s">
        <v>212</v>
      </c>
      <c r="DF105" t="s">
        <v>212</v>
      </c>
      <c r="DG105" t="s">
        <v>235</v>
      </c>
      <c r="DH105" t="s">
        <v>212</v>
      </c>
      <c r="DJ105" t="s">
        <v>236</v>
      </c>
      <c r="DM105" t="s">
        <v>212</v>
      </c>
    </row>
    <row r="106" spans="1:184" x14ac:dyDescent="0.3">
      <c r="A106">
        <v>20796598</v>
      </c>
      <c r="B106">
        <v>7304594</v>
      </c>
      <c r="C106" t="str">
        <f>"140326501031"</f>
        <v>140326501031</v>
      </c>
      <c r="D106" t="s">
        <v>613</v>
      </c>
      <c r="E106" t="s">
        <v>614</v>
      </c>
      <c r="F106" t="s">
        <v>615</v>
      </c>
      <c r="G106" s="1">
        <v>41724</v>
      </c>
      <c r="I106" t="s">
        <v>240</v>
      </c>
      <c r="J106" t="s">
        <v>200</v>
      </c>
      <c r="K106" t="s">
        <v>201</v>
      </c>
      <c r="R106" t="str">
        <f>"КАЗАХСТАН, АКМОЛИНСКАЯ, СТЕПНОГОРСК, Карабулак, 3"</f>
        <v>КАЗАХСТАН, АКМОЛИНСКАЯ, СТЕПНОГОРСК, Карабулак, 3</v>
      </c>
      <c r="S106" t="str">
        <f>"ҚАЗАҚСТАН, АҚМОЛА, СТЕПНОГОР, Карабулак, 3"</f>
        <v>ҚАЗАҚСТАН, АҚМОЛА, СТЕПНОГОР, Карабулак, 3</v>
      </c>
      <c r="T106" t="str">
        <f>"Карабулак, 3"</f>
        <v>Карабулак, 3</v>
      </c>
      <c r="U106" t="str">
        <f>"Карабулак, 3"</f>
        <v>Карабулак, 3</v>
      </c>
      <c r="AC106" t="str">
        <f>"2021-08-31T00:00:00"</f>
        <v>2021-08-31T00:00:00</v>
      </c>
      <c r="AD106" t="str">
        <f>"136"</f>
        <v>136</v>
      </c>
      <c r="AG106" t="s">
        <v>202</v>
      </c>
      <c r="AI106" t="s">
        <v>274</v>
      </c>
      <c r="AJ106" t="s">
        <v>540</v>
      </c>
      <c r="AK106" t="s">
        <v>261</v>
      </c>
      <c r="AL106" t="s">
        <v>206</v>
      </c>
      <c r="AN106" t="s">
        <v>207</v>
      </c>
      <c r="AO106">
        <v>2</v>
      </c>
      <c r="AP106" t="s">
        <v>208</v>
      </c>
      <c r="AQ106" t="s">
        <v>209</v>
      </c>
      <c r="AR106" t="s">
        <v>502</v>
      </c>
      <c r="AW106" t="s">
        <v>212</v>
      </c>
      <c r="AZ106" t="s">
        <v>209</v>
      </c>
      <c r="BI106" t="s">
        <v>212</v>
      </c>
      <c r="BJ106" t="s">
        <v>213</v>
      </c>
      <c r="BK106" t="s">
        <v>214</v>
      </c>
      <c r="BL106" t="s">
        <v>357</v>
      </c>
      <c r="BN106" t="s">
        <v>216</v>
      </c>
      <c r="BO106" t="s">
        <v>209</v>
      </c>
      <c r="BP106" t="s">
        <v>241</v>
      </c>
      <c r="BQ106">
        <v>4</v>
      </c>
      <c r="BS106" t="s">
        <v>219</v>
      </c>
      <c r="BT106" t="s">
        <v>220</v>
      </c>
      <c r="BU106" t="s">
        <v>206</v>
      </c>
      <c r="BZ106" t="s">
        <v>541</v>
      </c>
      <c r="CA106" t="s">
        <v>287</v>
      </c>
      <c r="CC106" t="s">
        <v>222</v>
      </c>
      <c r="CD106" t="s">
        <v>223</v>
      </c>
      <c r="CE106" t="s">
        <v>242</v>
      </c>
      <c r="CJ106" t="s">
        <v>206</v>
      </c>
      <c r="CK106" t="s">
        <v>230</v>
      </c>
      <c r="CL106" t="s">
        <v>231</v>
      </c>
      <c r="CM106" t="s">
        <v>232</v>
      </c>
      <c r="CN106" t="s">
        <v>233</v>
      </c>
      <c r="CP106" t="s">
        <v>212</v>
      </c>
      <c r="CQ106" t="s">
        <v>212</v>
      </c>
      <c r="CR106" t="s">
        <v>212</v>
      </c>
      <c r="CS106" t="s">
        <v>212</v>
      </c>
      <c r="CY106" t="s">
        <v>212</v>
      </c>
      <c r="DB106" t="s">
        <v>234</v>
      </c>
      <c r="DE106" t="s">
        <v>212</v>
      </c>
      <c r="DF106" t="s">
        <v>212</v>
      </c>
      <c r="DG106" t="s">
        <v>235</v>
      </c>
      <c r="DH106" t="s">
        <v>212</v>
      </c>
      <c r="DJ106" t="s">
        <v>236</v>
      </c>
      <c r="DM106" t="s">
        <v>212</v>
      </c>
    </row>
    <row r="107" spans="1:184" x14ac:dyDescent="0.3">
      <c r="A107">
        <v>20882635</v>
      </c>
      <c r="B107">
        <v>8862967</v>
      </c>
      <c r="C107" t="str">
        <f>"150821600381"</f>
        <v>150821600381</v>
      </c>
      <c r="D107" t="s">
        <v>616</v>
      </c>
      <c r="E107" t="s">
        <v>617</v>
      </c>
      <c r="F107" t="s">
        <v>618</v>
      </c>
      <c r="G107" s="1">
        <v>42237</v>
      </c>
      <c r="I107" t="s">
        <v>199</v>
      </c>
      <c r="J107" t="s">
        <v>200</v>
      </c>
      <c r="K107" t="s">
        <v>201</v>
      </c>
      <c r="R107" t="str">
        <f>"КАЗАХСТАН, АКМОЛИНСКАЯ, СТЕПНОГОРСК, -, 11, 71"</f>
        <v>КАЗАХСТАН, АКМОЛИНСКАЯ, СТЕПНОГОРСК, -, 11, 71</v>
      </c>
      <c r="S107" t="str">
        <f>"ҚАЗАҚСТАН, АҚМОЛА, СТЕПНОГОР, -, 11, 71"</f>
        <v>ҚАЗАҚСТАН, АҚМОЛА, СТЕПНОГОР, -, 11, 71</v>
      </c>
      <c r="T107" t="str">
        <f>"-, 11, 71"</f>
        <v>-, 11, 71</v>
      </c>
      <c r="U107" t="str">
        <f>"-, 11, 71"</f>
        <v>-, 11, 71</v>
      </c>
      <c r="AC107" t="str">
        <f>"2021-08-25T00:00:00"</f>
        <v>2021-08-25T00:00:00</v>
      </c>
      <c r="AD107" t="str">
        <f>"136"</f>
        <v>136</v>
      </c>
      <c r="AG107" t="s">
        <v>202</v>
      </c>
      <c r="AI107" t="s">
        <v>299</v>
      </c>
      <c r="AJ107" t="s">
        <v>540</v>
      </c>
      <c r="AK107" t="s">
        <v>253</v>
      </c>
      <c r="AL107" t="s">
        <v>206</v>
      </c>
      <c r="AN107" t="s">
        <v>254</v>
      </c>
      <c r="AO107">
        <v>2</v>
      </c>
      <c r="AP107" t="s">
        <v>208</v>
      </c>
      <c r="AQ107" t="s">
        <v>209</v>
      </c>
      <c r="AR107" t="s">
        <v>502</v>
      </c>
      <c r="AW107" t="s">
        <v>212</v>
      </c>
      <c r="AZ107" t="s">
        <v>209</v>
      </c>
      <c r="BI107" t="s">
        <v>212</v>
      </c>
      <c r="BJ107" t="s">
        <v>213</v>
      </c>
      <c r="BK107" t="s">
        <v>214</v>
      </c>
      <c r="BL107" t="s">
        <v>357</v>
      </c>
      <c r="BN107" t="s">
        <v>216</v>
      </c>
      <c r="BO107" t="s">
        <v>209</v>
      </c>
      <c r="BP107" t="s">
        <v>241</v>
      </c>
      <c r="BQ107">
        <v>5</v>
      </c>
      <c r="BS107" t="s">
        <v>219</v>
      </c>
      <c r="BT107" t="s">
        <v>220</v>
      </c>
      <c r="BU107" t="s">
        <v>206</v>
      </c>
      <c r="BZ107" t="s">
        <v>541</v>
      </c>
      <c r="CA107" t="s">
        <v>287</v>
      </c>
      <c r="CC107" t="s">
        <v>222</v>
      </c>
      <c r="CD107" t="s">
        <v>223</v>
      </c>
      <c r="CE107" t="s">
        <v>242</v>
      </c>
      <c r="CJ107" t="s">
        <v>206</v>
      </c>
      <c r="CK107" t="s">
        <v>230</v>
      </c>
      <c r="CL107" t="s">
        <v>231</v>
      </c>
      <c r="CM107" t="s">
        <v>232</v>
      </c>
      <c r="CN107" t="s">
        <v>233</v>
      </c>
      <c r="CP107" t="s">
        <v>212</v>
      </c>
      <c r="CQ107" t="s">
        <v>212</v>
      </c>
      <c r="CR107" t="s">
        <v>212</v>
      </c>
      <c r="CS107" t="s">
        <v>212</v>
      </c>
      <c r="CY107" t="s">
        <v>212</v>
      </c>
      <c r="DB107" t="s">
        <v>234</v>
      </c>
      <c r="DE107" t="s">
        <v>212</v>
      </c>
      <c r="DF107" t="s">
        <v>212</v>
      </c>
      <c r="DG107" t="s">
        <v>235</v>
      </c>
      <c r="DH107" t="s">
        <v>212</v>
      </c>
      <c r="DJ107" t="s">
        <v>236</v>
      </c>
      <c r="DM107" t="s">
        <v>212</v>
      </c>
    </row>
    <row r="108" spans="1:184" x14ac:dyDescent="0.3">
      <c r="A108">
        <v>20900103</v>
      </c>
      <c r="B108">
        <v>921226</v>
      </c>
      <c r="C108" t="str">
        <f>"141005501544"</f>
        <v>141005501544</v>
      </c>
      <c r="D108" t="s">
        <v>619</v>
      </c>
      <c r="E108" t="s">
        <v>620</v>
      </c>
      <c r="F108" t="s">
        <v>533</v>
      </c>
      <c r="G108" s="1">
        <v>41917</v>
      </c>
      <c r="I108" t="s">
        <v>240</v>
      </c>
      <c r="J108" t="s">
        <v>200</v>
      </c>
      <c r="K108" t="s">
        <v>260</v>
      </c>
      <c r="R108" t="str">
        <f>"КАЗАХСТАН, АКМОЛИНСКАЯ, СТЕПНОГОРСК, 45, 28"</f>
        <v>КАЗАХСТАН, АКМОЛИНСКАЯ, СТЕПНОГОРСК, 45, 28</v>
      </c>
      <c r="S108" t="str">
        <f>"ҚАЗАҚСТАН, АҚМОЛА, СТЕПНОГОР, 45, 28"</f>
        <v>ҚАЗАҚСТАН, АҚМОЛА, СТЕПНОГОР, 45, 28</v>
      </c>
      <c r="T108" t="str">
        <f>"45, 28"</f>
        <v>45, 28</v>
      </c>
      <c r="U108" t="str">
        <f>"45, 28"</f>
        <v>45, 28</v>
      </c>
      <c r="AC108" t="str">
        <f>"2021-08-28T00:00:00"</f>
        <v>2021-08-28T00:00:00</v>
      </c>
      <c r="AD108" t="str">
        <f>"135"</f>
        <v>135</v>
      </c>
      <c r="AG108" t="s">
        <v>202</v>
      </c>
      <c r="AI108" t="s">
        <v>299</v>
      </c>
      <c r="AJ108" t="s">
        <v>540</v>
      </c>
      <c r="AK108" t="s">
        <v>246</v>
      </c>
      <c r="AL108" t="s">
        <v>206</v>
      </c>
      <c r="AN108" t="s">
        <v>207</v>
      </c>
      <c r="AO108">
        <v>2</v>
      </c>
      <c r="AP108" t="s">
        <v>208</v>
      </c>
      <c r="AQ108" t="s">
        <v>209</v>
      </c>
      <c r="AR108" t="s">
        <v>412</v>
      </c>
      <c r="AW108" t="s">
        <v>212</v>
      </c>
      <c r="AZ108" t="s">
        <v>209</v>
      </c>
      <c r="BI108" t="s">
        <v>212</v>
      </c>
      <c r="BJ108" t="s">
        <v>213</v>
      </c>
      <c r="BK108" t="s">
        <v>214</v>
      </c>
      <c r="BL108" t="s">
        <v>357</v>
      </c>
      <c r="BN108" t="s">
        <v>216</v>
      </c>
      <c r="BO108" t="s">
        <v>209</v>
      </c>
      <c r="BP108" t="s">
        <v>241</v>
      </c>
      <c r="BQ108">
        <v>5</v>
      </c>
      <c r="BS108" t="s">
        <v>219</v>
      </c>
      <c r="BT108" t="s">
        <v>220</v>
      </c>
      <c r="BU108" t="s">
        <v>206</v>
      </c>
      <c r="BZ108" t="s">
        <v>541</v>
      </c>
      <c r="CA108" t="s">
        <v>287</v>
      </c>
      <c r="CC108" t="s">
        <v>222</v>
      </c>
      <c r="CD108" t="s">
        <v>223</v>
      </c>
      <c r="CE108" t="s">
        <v>242</v>
      </c>
      <c r="CJ108" t="s">
        <v>206</v>
      </c>
      <c r="CK108" t="s">
        <v>230</v>
      </c>
      <c r="CL108" t="s">
        <v>231</v>
      </c>
      <c r="CM108" t="s">
        <v>232</v>
      </c>
      <c r="CN108" t="s">
        <v>233</v>
      </c>
      <c r="CP108" t="s">
        <v>212</v>
      </c>
      <c r="CQ108" t="s">
        <v>212</v>
      </c>
      <c r="CR108" t="s">
        <v>212</v>
      </c>
      <c r="CS108" t="s">
        <v>212</v>
      </c>
      <c r="CY108" t="s">
        <v>212</v>
      </c>
      <c r="DB108" t="s">
        <v>234</v>
      </c>
      <c r="DE108" t="s">
        <v>212</v>
      </c>
      <c r="DF108" t="s">
        <v>212</v>
      </c>
      <c r="DG108" t="s">
        <v>235</v>
      </c>
      <c r="DH108" t="s">
        <v>212</v>
      </c>
      <c r="DJ108" t="s">
        <v>236</v>
      </c>
      <c r="DM108" t="s">
        <v>212</v>
      </c>
    </row>
    <row r="109" spans="1:184" x14ac:dyDescent="0.3">
      <c r="A109">
        <v>21222814</v>
      </c>
      <c r="B109">
        <v>863879</v>
      </c>
      <c r="C109" t="str">
        <f>"150521503723"</f>
        <v>150521503723</v>
      </c>
      <c r="D109" t="s">
        <v>621</v>
      </c>
      <c r="E109" t="s">
        <v>602</v>
      </c>
      <c r="F109" t="s">
        <v>622</v>
      </c>
      <c r="G109" s="1">
        <v>42145</v>
      </c>
      <c r="I109" t="s">
        <v>240</v>
      </c>
      <c r="J109" t="s">
        <v>200</v>
      </c>
      <c r="K109" t="s">
        <v>201</v>
      </c>
      <c r="R109" t="str">
        <f>"КАЗАХСТАН, АКМОЛИНСКАЯ, СТЕПНОГОРСК, 87, 18"</f>
        <v>КАЗАХСТАН, АКМОЛИНСКАЯ, СТЕПНОГОРСК, 87, 18</v>
      </c>
      <c r="S109" t="str">
        <f>"ҚАЗАҚСТАН, АҚМОЛА, СТЕПНОГОР, 87, 18"</f>
        <v>ҚАЗАҚСТАН, АҚМОЛА, СТЕПНОГОР, 87, 18</v>
      </c>
      <c r="T109" t="str">
        <f>"87, 18"</f>
        <v>87, 18</v>
      </c>
      <c r="U109" t="str">
        <f>"87, 18"</f>
        <v>87, 18</v>
      </c>
      <c r="AC109" t="str">
        <f t="shared" ref="AC109:AC117" si="2">"2021-08-25T00:00:00"</f>
        <v>2021-08-25T00:00:00</v>
      </c>
      <c r="AD109" t="str">
        <f t="shared" ref="AD109:AD117" si="3">"1"</f>
        <v>1</v>
      </c>
      <c r="AE109" t="str">
        <f>"2023-09-01T22:54:41"</f>
        <v>2023-09-01T22:54:41</v>
      </c>
      <c r="AF109" t="str">
        <f>"2024-05-25T22:54:41"</f>
        <v>2024-05-25T22:54:41</v>
      </c>
      <c r="AG109" t="s">
        <v>202</v>
      </c>
      <c r="AI109" t="s">
        <v>299</v>
      </c>
      <c r="AJ109" t="s">
        <v>570</v>
      </c>
      <c r="AK109" t="s">
        <v>253</v>
      </c>
      <c r="AL109" t="s">
        <v>206</v>
      </c>
      <c r="AN109" t="s">
        <v>254</v>
      </c>
      <c r="AO109">
        <v>2</v>
      </c>
      <c r="AP109" t="s">
        <v>208</v>
      </c>
      <c r="AQ109" t="s">
        <v>209</v>
      </c>
      <c r="AR109" t="s">
        <v>502</v>
      </c>
      <c r="AW109" t="s">
        <v>212</v>
      </c>
      <c r="AZ109" t="s">
        <v>209</v>
      </c>
      <c r="BI109" t="s">
        <v>212</v>
      </c>
      <c r="BJ109" t="s">
        <v>213</v>
      </c>
      <c r="BK109" t="s">
        <v>214</v>
      </c>
      <c r="BL109" t="s">
        <v>357</v>
      </c>
      <c r="BN109" t="s">
        <v>216</v>
      </c>
      <c r="BO109" t="s">
        <v>209</v>
      </c>
      <c r="BP109" t="s">
        <v>241</v>
      </c>
      <c r="BQ109">
        <v>4</v>
      </c>
      <c r="BS109" t="s">
        <v>220</v>
      </c>
      <c r="BU109" t="s">
        <v>212</v>
      </c>
      <c r="BZ109" t="s">
        <v>623</v>
      </c>
      <c r="CA109" t="s">
        <v>287</v>
      </c>
      <c r="CC109" t="s">
        <v>209</v>
      </c>
      <c r="CE109" t="s">
        <v>242</v>
      </c>
      <c r="CJ109" t="s">
        <v>206</v>
      </c>
      <c r="CK109" t="s">
        <v>230</v>
      </c>
      <c r="CL109" t="s">
        <v>231</v>
      </c>
      <c r="CM109" t="s">
        <v>232</v>
      </c>
      <c r="CN109" t="s">
        <v>233</v>
      </c>
      <c r="CP109" t="s">
        <v>212</v>
      </c>
      <c r="CQ109" t="s">
        <v>212</v>
      </c>
      <c r="CR109" t="s">
        <v>212</v>
      </c>
      <c r="CS109" t="s">
        <v>212</v>
      </c>
      <c r="CY109" t="s">
        <v>212</v>
      </c>
      <c r="DB109" t="s">
        <v>234</v>
      </c>
      <c r="DE109" t="s">
        <v>212</v>
      </c>
      <c r="DF109" t="s">
        <v>212</v>
      </c>
      <c r="DG109" t="s">
        <v>235</v>
      </c>
      <c r="DH109" t="s">
        <v>212</v>
      </c>
      <c r="DJ109" t="s">
        <v>236</v>
      </c>
      <c r="DM109" t="s">
        <v>212</v>
      </c>
    </row>
    <row r="110" spans="1:184" x14ac:dyDescent="0.3">
      <c r="A110">
        <v>21223345</v>
      </c>
      <c r="B110">
        <v>12025747</v>
      </c>
      <c r="C110" t="str">
        <f>"150129601306"</f>
        <v>150129601306</v>
      </c>
      <c r="D110" t="s">
        <v>624</v>
      </c>
      <c r="E110" t="s">
        <v>625</v>
      </c>
      <c r="F110" t="s">
        <v>626</v>
      </c>
      <c r="G110" s="1">
        <v>42033</v>
      </c>
      <c r="I110" t="s">
        <v>199</v>
      </c>
      <c r="J110" t="s">
        <v>200</v>
      </c>
      <c r="K110" t="s">
        <v>201</v>
      </c>
      <c r="R110" t="str">
        <f>"КАЗАХСТАН, АКМОЛИНСКАЯ, СТЕПНОГОРСК, -, 70, 16"</f>
        <v>КАЗАХСТАН, АКМОЛИНСКАЯ, СТЕПНОГОРСК, -, 70, 16</v>
      </c>
      <c r="S110" t="str">
        <f>"ҚАЗАҚСТАН, АҚМОЛА, СТЕПНОГОР, -, 70, 16"</f>
        <v>ҚАЗАҚСТАН, АҚМОЛА, СТЕПНОГОР, -, 70, 16</v>
      </c>
      <c r="T110" t="str">
        <f>"-, 70, 16"</f>
        <v>-, 70, 16</v>
      </c>
      <c r="U110" t="str">
        <f>"-, 70, 16"</f>
        <v>-, 70, 16</v>
      </c>
      <c r="AC110" t="str">
        <f t="shared" si="2"/>
        <v>2021-08-25T00:00:00</v>
      </c>
      <c r="AD110" t="str">
        <f t="shared" si="3"/>
        <v>1</v>
      </c>
      <c r="AG110" t="s">
        <v>202</v>
      </c>
      <c r="AI110" t="s">
        <v>299</v>
      </c>
      <c r="AJ110" t="s">
        <v>570</v>
      </c>
      <c r="AK110" t="s">
        <v>434</v>
      </c>
      <c r="AL110" t="s">
        <v>206</v>
      </c>
      <c r="AN110" t="s">
        <v>254</v>
      </c>
      <c r="AO110">
        <v>2</v>
      </c>
      <c r="AP110" t="s">
        <v>208</v>
      </c>
      <c r="AQ110" t="s">
        <v>209</v>
      </c>
      <c r="AR110" t="s">
        <v>502</v>
      </c>
      <c r="AW110" t="s">
        <v>212</v>
      </c>
      <c r="AZ110" t="s">
        <v>209</v>
      </c>
      <c r="BI110" t="s">
        <v>212</v>
      </c>
      <c r="BJ110" t="s">
        <v>213</v>
      </c>
      <c r="BK110" t="s">
        <v>214</v>
      </c>
      <c r="BL110" t="s">
        <v>357</v>
      </c>
      <c r="BN110" t="s">
        <v>216</v>
      </c>
      <c r="BO110" t="s">
        <v>209</v>
      </c>
      <c r="BP110" t="s">
        <v>241</v>
      </c>
      <c r="BQ110">
        <v>5</v>
      </c>
      <c r="BS110" t="s">
        <v>220</v>
      </c>
      <c r="BU110" t="s">
        <v>212</v>
      </c>
      <c r="BZ110" t="s">
        <v>571</v>
      </c>
      <c r="CA110" t="s">
        <v>287</v>
      </c>
      <c r="CC110" t="s">
        <v>222</v>
      </c>
      <c r="CD110" t="s">
        <v>223</v>
      </c>
      <c r="CE110" t="s">
        <v>342</v>
      </c>
      <c r="CF110" t="s">
        <v>610</v>
      </c>
      <c r="CG110" t="s">
        <v>343</v>
      </c>
      <c r="CH110" t="s">
        <v>627</v>
      </c>
      <c r="CI110" t="s">
        <v>628</v>
      </c>
      <c r="CJ110" t="s">
        <v>206</v>
      </c>
      <c r="CK110" t="s">
        <v>230</v>
      </c>
      <c r="CL110" t="s">
        <v>231</v>
      </c>
      <c r="CM110" t="s">
        <v>232</v>
      </c>
      <c r="CN110" t="s">
        <v>233</v>
      </c>
      <c r="CP110" t="s">
        <v>212</v>
      </c>
      <c r="CQ110" t="s">
        <v>212</v>
      </c>
      <c r="CR110" t="s">
        <v>212</v>
      </c>
      <c r="CS110" t="s">
        <v>212</v>
      </c>
      <c r="CY110" t="s">
        <v>212</v>
      </c>
      <c r="DB110" t="s">
        <v>234</v>
      </c>
      <c r="DE110" t="s">
        <v>212</v>
      </c>
      <c r="DF110" t="s">
        <v>212</v>
      </c>
      <c r="DG110" t="s">
        <v>235</v>
      </c>
      <c r="DH110" t="s">
        <v>212</v>
      </c>
      <c r="DJ110" t="s">
        <v>236</v>
      </c>
      <c r="DM110" t="s">
        <v>212</v>
      </c>
    </row>
    <row r="111" spans="1:184" x14ac:dyDescent="0.3">
      <c r="A111">
        <v>21223737</v>
      </c>
      <c r="B111">
        <v>862284</v>
      </c>
      <c r="C111" t="str">
        <f>"150817501657"</f>
        <v>150817501657</v>
      </c>
      <c r="D111" t="s">
        <v>424</v>
      </c>
      <c r="E111" t="s">
        <v>495</v>
      </c>
      <c r="F111" t="s">
        <v>426</v>
      </c>
      <c r="G111" s="1">
        <v>42233</v>
      </c>
      <c r="I111" t="s">
        <v>240</v>
      </c>
      <c r="J111" t="s">
        <v>200</v>
      </c>
      <c r="K111" t="s">
        <v>201</v>
      </c>
      <c r="R111" t="str">
        <f>"КАЗАХСТАН, АКМОЛИНСКАЯ, СТЕПНОГОРСК, 67, 90"</f>
        <v>КАЗАХСТАН, АКМОЛИНСКАЯ, СТЕПНОГОРСК, 67, 90</v>
      </c>
      <c r="S111" t="str">
        <f>"ҚАЗАҚСТАН, АҚМОЛА, СТЕПНОГОР, 67, 90"</f>
        <v>ҚАЗАҚСТАН, АҚМОЛА, СТЕПНОГОР, 67, 90</v>
      </c>
      <c r="T111" t="str">
        <f>"67, 90"</f>
        <v>67, 90</v>
      </c>
      <c r="U111" t="str">
        <f>"67, 90"</f>
        <v>67, 90</v>
      </c>
      <c r="AC111" t="str">
        <f t="shared" si="2"/>
        <v>2021-08-25T00:00:00</v>
      </c>
      <c r="AD111" t="str">
        <f t="shared" si="3"/>
        <v>1</v>
      </c>
      <c r="AG111" t="s">
        <v>202</v>
      </c>
      <c r="AI111" t="s">
        <v>299</v>
      </c>
      <c r="AJ111" t="s">
        <v>570</v>
      </c>
      <c r="AK111" t="s">
        <v>253</v>
      </c>
      <c r="AL111" t="s">
        <v>206</v>
      </c>
      <c r="AN111" t="s">
        <v>254</v>
      </c>
      <c r="AO111">
        <v>2</v>
      </c>
      <c r="AP111" t="s">
        <v>208</v>
      </c>
      <c r="AQ111" t="s">
        <v>209</v>
      </c>
      <c r="AR111" t="s">
        <v>502</v>
      </c>
      <c r="AW111" t="s">
        <v>212</v>
      </c>
      <c r="AZ111" t="s">
        <v>209</v>
      </c>
      <c r="BI111" t="s">
        <v>212</v>
      </c>
      <c r="BJ111" t="s">
        <v>213</v>
      </c>
      <c r="BK111" t="s">
        <v>214</v>
      </c>
      <c r="BL111" t="s">
        <v>357</v>
      </c>
      <c r="BN111" t="s">
        <v>247</v>
      </c>
      <c r="BO111" t="s">
        <v>209</v>
      </c>
      <c r="BP111" t="s">
        <v>241</v>
      </c>
      <c r="BQ111">
        <v>3</v>
      </c>
      <c r="BS111" t="s">
        <v>220</v>
      </c>
      <c r="BU111" t="s">
        <v>212</v>
      </c>
      <c r="BZ111" t="s">
        <v>623</v>
      </c>
      <c r="CA111" t="s">
        <v>287</v>
      </c>
      <c r="CC111" t="s">
        <v>222</v>
      </c>
      <c r="CD111" t="s">
        <v>223</v>
      </c>
      <c r="CE111" t="s">
        <v>242</v>
      </c>
      <c r="CJ111" t="s">
        <v>206</v>
      </c>
      <c r="CK111" t="s">
        <v>230</v>
      </c>
      <c r="CL111" t="s">
        <v>231</v>
      </c>
      <c r="CM111" t="s">
        <v>232</v>
      </c>
      <c r="CN111" t="s">
        <v>233</v>
      </c>
      <c r="CP111" t="s">
        <v>212</v>
      </c>
      <c r="CQ111" t="s">
        <v>212</v>
      </c>
      <c r="CR111" t="s">
        <v>212</v>
      </c>
      <c r="CS111" t="s">
        <v>212</v>
      </c>
      <c r="CY111" t="s">
        <v>212</v>
      </c>
      <c r="DB111" t="s">
        <v>234</v>
      </c>
      <c r="DE111" t="s">
        <v>212</v>
      </c>
      <c r="DF111" t="s">
        <v>212</v>
      </c>
      <c r="DG111" t="s">
        <v>235</v>
      </c>
      <c r="DH111" t="s">
        <v>212</v>
      </c>
      <c r="DJ111" t="s">
        <v>236</v>
      </c>
      <c r="DM111" t="s">
        <v>206</v>
      </c>
    </row>
    <row r="112" spans="1:184" x14ac:dyDescent="0.3">
      <c r="A112">
        <v>21224667</v>
      </c>
      <c r="B112">
        <v>10956971</v>
      </c>
      <c r="C112" t="str">
        <f>"150411603632"</f>
        <v>150411603632</v>
      </c>
      <c r="D112" t="s">
        <v>629</v>
      </c>
      <c r="E112" t="s">
        <v>630</v>
      </c>
      <c r="F112" t="s">
        <v>631</v>
      </c>
      <c r="G112" s="1">
        <v>42105</v>
      </c>
      <c r="I112" t="s">
        <v>199</v>
      </c>
      <c r="J112" t="s">
        <v>200</v>
      </c>
      <c r="K112" t="s">
        <v>201</v>
      </c>
      <c r="R112" t="str">
        <f>"КАЗАХСТАН, АКМОЛИНСКАЯ, СТЕПНОГОРСК, 13, 58"</f>
        <v>КАЗАХСТАН, АКМОЛИНСКАЯ, СТЕПНОГОРСК, 13, 58</v>
      </c>
      <c r="S112" t="str">
        <f>"ҚАЗАҚСТАН, АҚМОЛА, СТЕПНОГОР, 13, 58"</f>
        <v>ҚАЗАҚСТАН, АҚМОЛА, СТЕПНОГОР, 13, 58</v>
      </c>
      <c r="T112" t="str">
        <f>"13, 58"</f>
        <v>13, 58</v>
      </c>
      <c r="U112" t="str">
        <f>"13, 58"</f>
        <v>13, 58</v>
      </c>
      <c r="AC112" t="str">
        <f t="shared" si="2"/>
        <v>2021-08-25T00:00:00</v>
      </c>
      <c r="AD112" t="str">
        <f t="shared" si="3"/>
        <v>1</v>
      </c>
      <c r="AG112" t="s">
        <v>202</v>
      </c>
      <c r="AI112" t="s">
        <v>299</v>
      </c>
      <c r="AJ112" t="s">
        <v>570</v>
      </c>
      <c r="AK112" t="s">
        <v>246</v>
      </c>
      <c r="AL112" t="s">
        <v>206</v>
      </c>
      <c r="AN112" t="s">
        <v>207</v>
      </c>
      <c r="AO112">
        <v>1</v>
      </c>
      <c r="AP112" t="s">
        <v>208</v>
      </c>
      <c r="AQ112" t="s">
        <v>209</v>
      </c>
      <c r="AR112" t="s">
        <v>210</v>
      </c>
      <c r="AW112" t="s">
        <v>212</v>
      </c>
      <c r="AZ112" t="s">
        <v>209</v>
      </c>
      <c r="BI112" t="s">
        <v>212</v>
      </c>
      <c r="BJ112" t="s">
        <v>213</v>
      </c>
      <c r="BK112" t="s">
        <v>214</v>
      </c>
      <c r="BL112" t="s">
        <v>357</v>
      </c>
      <c r="BN112" t="s">
        <v>247</v>
      </c>
      <c r="BO112" t="s">
        <v>209</v>
      </c>
      <c r="BP112" t="s">
        <v>241</v>
      </c>
      <c r="BQ112">
        <v>3</v>
      </c>
      <c r="BS112" t="s">
        <v>220</v>
      </c>
      <c r="BU112" t="s">
        <v>212</v>
      </c>
      <c r="BZ112" t="s">
        <v>571</v>
      </c>
      <c r="CA112" t="s">
        <v>287</v>
      </c>
      <c r="CC112" t="s">
        <v>222</v>
      </c>
      <c r="CD112" t="s">
        <v>223</v>
      </c>
      <c r="CE112" t="s">
        <v>242</v>
      </c>
      <c r="CJ112" t="s">
        <v>206</v>
      </c>
      <c r="CK112" t="s">
        <v>230</v>
      </c>
      <c r="CL112" t="s">
        <v>231</v>
      </c>
      <c r="CM112" t="s">
        <v>232</v>
      </c>
      <c r="CN112" t="s">
        <v>233</v>
      </c>
      <c r="CP112" t="s">
        <v>212</v>
      </c>
      <c r="CQ112" t="s">
        <v>212</v>
      </c>
      <c r="CR112" t="s">
        <v>212</v>
      </c>
      <c r="CS112" t="s">
        <v>212</v>
      </c>
      <c r="CY112" t="s">
        <v>212</v>
      </c>
      <c r="DB112" t="s">
        <v>234</v>
      </c>
      <c r="DE112" t="s">
        <v>212</v>
      </c>
      <c r="DF112" t="s">
        <v>212</v>
      </c>
      <c r="DG112" t="s">
        <v>235</v>
      </c>
      <c r="DH112" t="s">
        <v>212</v>
      </c>
      <c r="DJ112" t="s">
        <v>236</v>
      </c>
      <c r="DM112" t="s">
        <v>212</v>
      </c>
    </row>
    <row r="113" spans="1:184" x14ac:dyDescent="0.3">
      <c r="A113">
        <v>21224707</v>
      </c>
      <c r="B113">
        <v>841112</v>
      </c>
      <c r="C113" t="str">
        <f>"160213501090"</f>
        <v>160213501090</v>
      </c>
      <c r="D113" t="s">
        <v>632</v>
      </c>
      <c r="E113" t="s">
        <v>633</v>
      </c>
      <c r="F113" t="s">
        <v>634</v>
      </c>
      <c r="G113" s="1">
        <v>42413</v>
      </c>
      <c r="I113" t="s">
        <v>240</v>
      </c>
      <c r="J113" t="s">
        <v>200</v>
      </c>
      <c r="K113" t="s">
        <v>201</v>
      </c>
      <c r="R113" t="str">
        <f>"КАЗАХСТАН, АКМОЛИНСКАЯ, СТЕПНОГОРСК, 16, 12"</f>
        <v>КАЗАХСТАН, АКМОЛИНСКАЯ, СТЕПНОГОРСК, 16, 12</v>
      </c>
      <c r="S113" t="str">
        <f>"ҚАЗАҚСТАН, АҚМОЛА, СТЕПНОГОР, 16, 12"</f>
        <v>ҚАЗАҚСТАН, АҚМОЛА, СТЕПНОГОР, 16, 12</v>
      </c>
      <c r="T113" t="str">
        <f>"16, 12"</f>
        <v>16, 12</v>
      </c>
      <c r="U113" t="str">
        <f>"16, 12"</f>
        <v>16, 12</v>
      </c>
      <c r="AC113" t="str">
        <f t="shared" si="2"/>
        <v>2021-08-25T00:00:00</v>
      </c>
      <c r="AD113" t="str">
        <f t="shared" si="3"/>
        <v>1</v>
      </c>
      <c r="AG113" t="s">
        <v>202</v>
      </c>
      <c r="AI113" t="s">
        <v>299</v>
      </c>
      <c r="AJ113" t="s">
        <v>570</v>
      </c>
      <c r="AK113" t="s">
        <v>261</v>
      </c>
      <c r="AL113" t="s">
        <v>206</v>
      </c>
      <c r="AN113" t="s">
        <v>207</v>
      </c>
      <c r="AO113">
        <v>2</v>
      </c>
      <c r="AP113" t="s">
        <v>208</v>
      </c>
      <c r="AQ113" t="s">
        <v>209</v>
      </c>
      <c r="AR113" t="s">
        <v>502</v>
      </c>
      <c r="AW113" t="s">
        <v>212</v>
      </c>
      <c r="AZ113" t="s">
        <v>209</v>
      </c>
      <c r="BI113" t="s">
        <v>212</v>
      </c>
      <c r="BJ113" t="s">
        <v>213</v>
      </c>
      <c r="BK113" t="s">
        <v>214</v>
      </c>
      <c r="BL113" t="s">
        <v>357</v>
      </c>
      <c r="BN113" t="s">
        <v>247</v>
      </c>
      <c r="BO113" t="s">
        <v>209</v>
      </c>
      <c r="BP113" t="s">
        <v>241</v>
      </c>
      <c r="BQ113">
        <v>3</v>
      </c>
      <c r="BS113" t="s">
        <v>220</v>
      </c>
      <c r="BU113" t="s">
        <v>212</v>
      </c>
      <c r="BZ113" t="s">
        <v>571</v>
      </c>
      <c r="CA113" t="s">
        <v>287</v>
      </c>
      <c r="CC113" t="s">
        <v>301</v>
      </c>
      <c r="CD113" t="s">
        <v>223</v>
      </c>
      <c r="CE113" t="s">
        <v>242</v>
      </c>
      <c r="CJ113" t="s">
        <v>206</v>
      </c>
      <c r="CK113" t="s">
        <v>230</v>
      </c>
      <c r="CL113" t="s">
        <v>635</v>
      </c>
      <c r="CM113" t="s">
        <v>232</v>
      </c>
      <c r="CN113" t="s">
        <v>233</v>
      </c>
      <c r="CP113" t="s">
        <v>212</v>
      </c>
      <c r="CQ113" t="s">
        <v>212</v>
      </c>
      <c r="CR113" t="s">
        <v>212</v>
      </c>
      <c r="CS113" t="s">
        <v>212</v>
      </c>
      <c r="CY113" t="s">
        <v>212</v>
      </c>
      <c r="DB113" t="s">
        <v>234</v>
      </c>
      <c r="DE113" t="s">
        <v>212</v>
      </c>
      <c r="DF113" t="s">
        <v>212</v>
      </c>
      <c r="DG113" t="s">
        <v>235</v>
      </c>
      <c r="DH113" t="s">
        <v>212</v>
      </c>
      <c r="DJ113" t="s">
        <v>236</v>
      </c>
      <c r="DM113" t="s">
        <v>212</v>
      </c>
    </row>
    <row r="114" spans="1:184" x14ac:dyDescent="0.3">
      <c r="A114">
        <v>21224738</v>
      </c>
      <c r="B114">
        <v>921762</v>
      </c>
      <c r="C114" t="str">
        <f>"160120602565"</f>
        <v>160120602565</v>
      </c>
      <c r="D114" t="s">
        <v>636</v>
      </c>
      <c r="E114" t="s">
        <v>637</v>
      </c>
      <c r="F114" t="s">
        <v>400</v>
      </c>
      <c r="G114" s="1">
        <v>42389</v>
      </c>
      <c r="I114" t="s">
        <v>199</v>
      </c>
      <c r="J114" t="s">
        <v>200</v>
      </c>
      <c r="K114" t="s">
        <v>260</v>
      </c>
      <c r="R114" t="str">
        <f>"КАЗАХСТАН, АКМОЛИНСКАЯ, СТЕПНОГОРСК, 42, 45"</f>
        <v>КАЗАХСТАН, АКМОЛИНСКАЯ, СТЕПНОГОРСК, 42, 45</v>
      </c>
      <c r="S114" t="str">
        <f>"ҚАЗАҚСТАН, АҚМОЛА, СТЕПНОГОР, 42, 45"</f>
        <v>ҚАЗАҚСТАН, АҚМОЛА, СТЕПНОГОР, 42, 45</v>
      </c>
      <c r="T114" t="str">
        <f>"42, 45"</f>
        <v>42, 45</v>
      </c>
      <c r="U114" t="str">
        <f>"42, 45"</f>
        <v>42, 45</v>
      </c>
      <c r="AC114" t="str">
        <f t="shared" si="2"/>
        <v>2021-08-25T00:00:00</v>
      </c>
      <c r="AD114" t="str">
        <f t="shared" si="3"/>
        <v>1</v>
      </c>
      <c r="AE114" t="str">
        <f>"2023-09-01T17:47:56"</f>
        <v>2023-09-01T17:47:56</v>
      </c>
      <c r="AF114" t="str">
        <f>"2024-05-25T17:47:56"</f>
        <v>2024-05-25T17:47:56</v>
      </c>
      <c r="AG114" t="s">
        <v>202</v>
      </c>
      <c r="AI114" t="s">
        <v>299</v>
      </c>
      <c r="AJ114" t="s">
        <v>570</v>
      </c>
      <c r="AK114" t="s">
        <v>205</v>
      </c>
      <c r="AL114" t="s">
        <v>206</v>
      </c>
      <c r="AN114" t="s">
        <v>207</v>
      </c>
      <c r="AO114">
        <v>2</v>
      </c>
      <c r="AP114" t="s">
        <v>208</v>
      </c>
      <c r="AQ114" t="s">
        <v>209</v>
      </c>
      <c r="AR114" t="s">
        <v>502</v>
      </c>
      <c r="AW114" t="s">
        <v>212</v>
      </c>
      <c r="AZ114" t="s">
        <v>209</v>
      </c>
      <c r="BI114" t="s">
        <v>212</v>
      </c>
      <c r="BJ114" t="s">
        <v>213</v>
      </c>
      <c r="BK114" t="s">
        <v>214</v>
      </c>
      <c r="BL114" t="s">
        <v>357</v>
      </c>
      <c r="BN114" t="s">
        <v>216</v>
      </c>
      <c r="BO114" t="s">
        <v>209</v>
      </c>
      <c r="BP114" t="s">
        <v>241</v>
      </c>
      <c r="BQ114">
        <v>4</v>
      </c>
      <c r="BS114" t="s">
        <v>220</v>
      </c>
      <c r="BU114" t="s">
        <v>212</v>
      </c>
      <c r="BZ114" t="s">
        <v>623</v>
      </c>
      <c r="CA114" t="s">
        <v>287</v>
      </c>
      <c r="CC114" t="s">
        <v>638</v>
      </c>
      <c r="CD114" t="s">
        <v>349</v>
      </c>
      <c r="CE114" t="s">
        <v>242</v>
      </c>
      <c r="CJ114" t="s">
        <v>206</v>
      </c>
      <c r="CK114" t="s">
        <v>230</v>
      </c>
      <c r="CL114" t="s">
        <v>231</v>
      </c>
      <c r="CM114" t="s">
        <v>232</v>
      </c>
      <c r="CN114" t="s">
        <v>233</v>
      </c>
      <c r="CP114" t="s">
        <v>212</v>
      </c>
      <c r="CQ114" t="s">
        <v>212</v>
      </c>
      <c r="CR114" t="s">
        <v>212</v>
      </c>
      <c r="CS114" t="s">
        <v>212</v>
      </c>
      <c r="CY114" t="s">
        <v>212</v>
      </c>
      <c r="DB114" t="s">
        <v>234</v>
      </c>
      <c r="DE114" t="s">
        <v>212</v>
      </c>
      <c r="DF114" t="s">
        <v>212</v>
      </c>
      <c r="DG114" t="s">
        <v>235</v>
      </c>
      <c r="DH114" t="s">
        <v>212</v>
      </c>
      <c r="DJ114" t="s">
        <v>236</v>
      </c>
      <c r="DM114" t="s">
        <v>212</v>
      </c>
    </row>
    <row r="115" spans="1:184" x14ac:dyDescent="0.3">
      <c r="A115">
        <v>21224777</v>
      </c>
      <c r="B115">
        <v>841337</v>
      </c>
      <c r="C115" t="str">
        <f>"151007600555"</f>
        <v>151007600555</v>
      </c>
      <c r="D115" t="s">
        <v>639</v>
      </c>
      <c r="E115" t="s">
        <v>347</v>
      </c>
      <c r="F115" t="s">
        <v>555</v>
      </c>
      <c r="G115" s="1">
        <v>42284</v>
      </c>
      <c r="I115" t="s">
        <v>199</v>
      </c>
      <c r="J115" t="s">
        <v>200</v>
      </c>
      <c r="K115" t="s">
        <v>260</v>
      </c>
      <c r="R115" t="str">
        <f>"КАЗАХСТАН, АКМОЛИНСКАЯ, СТЕПНОГОРСК, 20, 45"</f>
        <v>КАЗАХСТАН, АКМОЛИНСКАЯ, СТЕПНОГОРСК, 20, 45</v>
      </c>
      <c r="S115" t="str">
        <f>"ҚАЗАҚСТАН, АҚМОЛА, СТЕПНОГОР, 20, 45"</f>
        <v>ҚАЗАҚСТАН, АҚМОЛА, СТЕПНОГОР, 20, 45</v>
      </c>
      <c r="T115" t="str">
        <f>"20, 45"</f>
        <v>20, 45</v>
      </c>
      <c r="U115" t="str">
        <f>"20, 45"</f>
        <v>20, 45</v>
      </c>
      <c r="AC115" t="str">
        <f t="shared" si="2"/>
        <v>2021-08-25T00:00:00</v>
      </c>
      <c r="AD115" t="str">
        <f t="shared" si="3"/>
        <v>1</v>
      </c>
      <c r="AE115" t="str">
        <f>"2023-09-01T17:48:32"</f>
        <v>2023-09-01T17:48:32</v>
      </c>
      <c r="AF115" t="str">
        <f>"2024-05-25T17:48:32"</f>
        <v>2024-05-25T17:48:32</v>
      </c>
      <c r="AG115" t="s">
        <v>202</v>
      </c>
      <c r="AI115" t="s">
        <v>269</v>
      </c>
      <c r="AJ115" t="s">
        <v>570</v>
      </c>
      <c r="AK115" t="s">
        <v>205</v>
      </c>
      <c r="AL115" t="s">
        <v>206</v>
      </c>
      <c r="AN115" t="s">
        <v>207</v>
      </c>
      <c r="AO115">
        <v>2</v>
      </c>
      <c r="AP115" t="s">
        <v>208</v>
      </c>
      <c r="AQ115" t="s">
        <v>209</v>
      </c>
      <c r="AR115" t="s">
        <v>502</v>
      </c>
      <c r="AW115" t="s">
        <v>212</v>
      </c>
      <c r="AZ115" t="s">
        <v>209</v>
      </c>
      <c r="BI115" t="s">
        <v>212</v>
      </c>
      <c r="BJ115" t="s">
        <v>213</v>
      </c>
      <c r="BK115" t="s">
        <v>214</v>
      </c>
      <c r="BL115" t="s">
        <v>357</v>
      </c>
      <c r="BN115" t="s">
        <v>216</v>
      </c>
      <c r="BO115" t="s">
        <v>209</v>
      </c>
      <c r="BP115" t="s">
        <v>241</v>
      </c>
      <c r="BQ115">
        <v>4</v>
      </c>
      <c r="BS115" t="s">
        <v>220</v>
      </c>
      <c r="BU115" t="s">
        <v>212</v>
      </c>
      <c r="BZ115" t="s">
        <v>623</v>
      </c>
      <c r="CA115" t="s">
        <v>287</v>
      </c>
      <c r="CC115" t="s">
        <v>224</v>
      </c>
      <c r="CD115" t="s">
        <v>349</v>
      </c>
      <c r="CE115" t="s">
        <v>242</v>
      </c>
      <c r="CJ115" t="s">
        <v>206</v>
      </c>
      <c r="CK115" t="s">
        <v>230</v>
      </c>
      <c r="CL115" t="s">
        <v>231</v>
      </c>
      <c r="CM115" t="s">
        <v>232</v>
      </c>
      <c r="CN115" t="s">
        <v>233</v>
      </c>
      <c r="CP115" t="s">
        <v>212</v>
      </c>
      <c r="CQ115" t="s">
        <v>212</v>
      </c>
      <c r="CR115" t="s">
        <v>212</v>
      </c>
      <c r="CS115" t="s">
        <v>212</v>
      </c>
      <c r="CY115" t="s">
        <v>212</v>
      </c>
      <c r="DB115" t="s">
        <v>234</v>
      </c>
      <c r="DE115" t="s">
        <v>212</v>
      </c>
      <c r="DF115" t="s">
        <v>212</v>
      </c>
      <c r="DG115" t="s">
        <v>235</v>
      </c>
      <c r="DH115" t="s">
        <v>212</v>
      </c>
      <c r="DJ115" t="s">
        <v>236</v>
      </c>
      <c r="DM115" t="s">
        <v>212</v>
      </c>
    </row>
    <row r="116" spans="1:184" x14ac:dyDescent="0.3">
      <c r="A116">
        <v>21225313</v>
      </c>
      <c r="B116">
        <v>862388</v>
      </c>
      <c r="C116" t="str">
        <f>"150505500953"</f>
        <v>150505500953</v>
      </c>
      <c r="D116" t="s">
        <v>640</v>
      </c>
      <c r="E116" t="s">
        <v>402</v>
      </c>
      <c r="F116" t="s">
        <v>641</v>
      </c>
      <c r="G116" s="1">
        <v>42129</v>
      </c>
      <c r="I116" t="s">
        <v>240</v>
      </c>
      <c r="J116" t="s">
        <v>200</v>
      </c>
      <c r="K116" t="s">
        <v>260</v>
      </c>
      <c r="R116" t="str">
        <f>"КАЗАХСТАН, АКМОЛИНСКАЯ, СТЕПНОГОРСК, 18, 801"</f>
        <v>КАЗАХСТАН, АКМОЛИНСКАЯ, СТЕПНОГОРСК, 18, 801</v>
      </c>
      <c r="S116" t="str">
        <f>"ҚАЗАҚСТАН, АҚМОЛА, СТЕПНОГОР, 18, 801"</f>
        <v>ҚАЗАҚСТАН, АҚМОЛА, СТЕПНОГОР, 18, 801</v>
      </c>
      <c r="T116" t="str">
        <f>"18, 801"</f>
        <v>18, 801</v>
      </c>
      <c r="U116" t="str">
        <f>"18, 801"</f>
        <v>18, 801</v>
      </c>
      <c r="AC116" t="str">
        <f t="shared" si="2"/>
        <v>2021-08-25T00:00:00</v>
      </c>
      <c r="AD116" t="str">
        <f t="shared" si="3"/>
        <v>1</v>
      </c>
      <c r="AG116" t="s">
        <v>202</v>
      </c>
      <c r="AI116" t="s">
        <v>299</v>
      </c>
      <c r="AJ116" t="s">
        <v>570</v>
      </c>
      <c r="AK116" t="s">
        <v>261</v>
      </c>
      <c r="AL116" t="s">
        <v>206</v>
      </c>
      <c r="AN116" t="s">
        <v>207</v>
      </c>
      <c r="AO116">
        <v>2</v>
      </c>
      <c r="AP116" t="s">
        <v>208</v>
      </c>
      <c r="AQ116" t="s">
        <v>209</v>
      </c>
      <c r="AR116" t="s">
        <v>502</v>
      </c>
      <c r="AW116" t="s">
        <v>212</v>
      </c>
      <c r="AZ116" t="s">
        <v>209</v>
      </c>
      <c r="BI116" t="s">
        <v>212</v>
      </c>
      <c r="BJ116" t="s">
        <v>213</v>
      </c>
      <c r="BK116" t="s">
        <v>214</v>
      </c>
      <c r="BL116" t="s">
        <v>357</v>
      </c>
      <c r="BN116" t="s">
        <v>216</v>
      </c>
      <c r="BO116" t="s">
        <v>209</v>
      </c>
      <c r="BP116" t="s">
        <v>241</v>
      </c>
      <c r="BQ116">
        <v>4</v>
      </c>
      <c r="BS116" t="s">
        <v>220</v>
      </c>
      <c r="BU116" t="s">
        <v>212</v>
      </c>
      <c r="BZ116" t="s">
        <v>571</v>
      </c>
      <c r="CA116" t="s">
        <v>287</v>
      </c>
      <c r="CC116" t="s">
        <v>209</v>
      </c>
      <c r="CE116" t="s">
        <v>242</v>
      </c>
      <c r="CJ116" t="s">
        <v>206</v>
      </c>
      <c r="CK116" t="s">
        <v>230</v>
      </c>
      <c r="CL116" t="s">
        <v>231</v>
      </c>
      <c r="CM116" t="s">
        <v>232</v>
      </c>
      <c r="CN116" t="s">
        <v>233</v>
      </c>
      <c r="CP116" t="s">
        <v>212</v>
      </c>
      <c r="CQ116" t="s">
        <v>212</v>
      </c>
      <c r="CR116" t="s">
        <v>212</v>
      </c>
      <c r="CS116" t="s">
        <v>212</v>
      </c>
      <c r="CY116" t="s">
        <v>212</v>
      </c>
      <c r="DB116" t="s">
        <v>234</v>
      </c>
      <c r="DE116" t="s">
        <v>212</v>
      </c>
      <c r="DF116" t="s">
        <v>212</v>
      </c>
      <c r="DG116" t="s">
        <v>235</v>
      </c>
      <c r="DH116" t="s">
        <v>212</v>
      </c>
      <c r="DJ116" t="s">
        <v>236</v>
      </c>
      <c r="DM116" t="s">
        <v>212</v>
      </c>
    </row>
    <row r="117" spans="1:184" x14ac:dyDescent="0.3">
      <c r="A117">
        <v>21236397</v>
      </c>
      <c r="B117">
        <v>825037</v>
      </c>
      <c r="C117" t="str">
        <f>"150126501274"</f>
        <v>150126501274</v>
      </c>
      <c r="D117" t="s">
        <v>642</v>
      </c>
      <c r="E117" t="s">
        <v>402</v>
      </c>
      <c r="F117" t="s">
        <v>521</v>
      </c>
      <c r="G117" s="1">
        <v>42030</v>
      </c>
      <c r="I117" t="s">
        <v>240</v>
      </c>
      <c r="J117" t="s">
        <v>200</v>
      </c>
      <c r="K117" t="s">
        <v>260</v>
      </c>
      <c r="L117" t="s">
        <v>212</v>
      </c>
      <c r="Q117" t="s">
        <v>212</v>
      </c>
      <c r="R117" t="str">
        <f>"КАЗАХСТАН, АКМОЛИНСКАЯ, СТЕПНОГОРСК, 74, 68"</f>
        <v>КАЗАХСТАН, АКМОЛИНСКАЯ, СТЕПНОГОРСК, 74, 68</v>
      </c>
      <c r="S117" t="str">
        <f>"ҚАЗАҚСТАН, АҚМОЛА, СТЕПНОГОР, 74, 68"</f>
        <v>ҚАЗАҚСТАН, АҚМОЛА, СТЕПНОГОР, 74, 68</v>
      </c>
      <c r="T117" t="str">
        <f>"74, 68"</f>
        <v>74, 68</v>
      </c>
      <c r="U117" t="str">
        <f>"74, 68"</f>
        <v>74, 68</v>
      </c>
      <c r="AC117" t="str">
        <f t="shared" si="2"/>
        <v>2021-08-25T00:00:00</v>
      </c>
      <c r="AD117" t="str">
        <f t="shared" si="3"/>
        <v>1</v>
      </c>
      <c r="AG117" t="s">
        <v>202</v>
      </c>
      <c r="AI117" t="s">
        <v>299</v>
      </c>
      <c r="AJ117" t="s">
        <v>570</v>
      </c>
      <c r="AK117" t="s">
        <v>261</v>
      </c>
      <c r="AL117" t="s">
        <v>206</v>
      </c>
      <c r="AN117" t="s">
        <v>207</v>
      </c>
      <c r="AO117">
        <v>2</v>
      </c>
      <c r="AP117" t="s">
        <v>208</v>
      </c>
      <c r="AQ117" t="s">
        <v>209</v>
      </c>
      <c r="AR117" t="s">
        <v>502</v>
      </c>
      <c r="AW117" t="s">
        <v>212</v>
      </c>
      <c r="AZ117" t="s">
        <v>209</v>
      </c>
      <c r="BI117" t="s">
        <v>212</v>
      </c>
      <c r="BJ117" t="s">
        <v>213</v>
      </c>
      <c r="BK117" t="s">
        <v>214</v>
      </c>
      <c r="BL117" t="s">
        <v>357</v>
      </c>
      <c r="BN117" t="s">
        <v>216</v>
      </c>
      <c r="BO117" t="s">
        <v>209</v>
      </c>
      <c r="BP117" t="s">
        <v>241</v>
      </c>
      <c r="BQ117">
        <v>4</v>
      </c>
      <c r="BS117" t="s">
        <v>220</v>
      </c>
      <c r="BU117" t="s">
        <v>212</v>
      </c>
      <c r="BZ117" t="s">
        <v>571</v>
      </c>
      <c r="CA117" t="s">
        <v>287</v>
      </c>
      <c r="CC117" t="s">
        <v>209</v>
      </c>
      <c r="CE117" t="s">
        <v>242</v>
      </c>
      <c r="CJ117" t="s">
        <v>206</v>
      </c>
      <c r="CK117" t="s">
        <v>230</v>
      </c>
      <c r="CL117" t="s">
        <v>231</v>
      </c>
      <c r="CM117" t="s">
        <v>232</v>
      </c>
      <c r="CN117" t="s">
        <v>233</v>
      </c>
      <c r="CP117" t="s">
        <v>212</v>
      </c>
      <c r="CQ117" t="s">
        <v>212</v>
      </c>
      <c r="CR117" t="s">
        <v>212</v>
      </c>
      <c r="CS117" t="s">
        <v>212</v>
      </c>
      <c r="CY117" t="s">
        <v>212</v>
      </c>
      <c r="DB117" t="s">
        <v>234</v>
      </c>
      <c r="DE117" t="s">
        <v>212</v>
      </c>
      <c r="DF117" t="s">
        <v>212</v>
      </c>
      <c r="DG117" t="s">
        <v>235</v>
      </c>
      <c r="DH117" t="s">
        <v>212</v>
      </c>
      <c r="DJ117" t="s">
        <v>236</v>
      </c>
      <c r="DM117" t="s">
        <v>212</v>
      </c>
    </row>
    <row r="118" spans="1:184" x14ac:dyDescent="0.3">
      <c r="A118">
        <v>21492772</v>
      </c>
      <c r="B118">
        <v>130128</v>
      </c>
      <c r="C118" t="str">
        <f>"120325503336"</f>
        <v>120325503336</v>
      </c>
      <c r="D118" t="s">
        <v>643</v>
      </c>
      <c r="E118" t="s">
        <v>644</v>
      </c>
      <c r="F118" t="s">
        <v>645</v>
      </c>
      <c r="G118" s="1">
        <v>40993</v>
      </c>
      <c r="I118" t="s">
        <v>240</v>
      </c>
      <c r="J118" t="s">
        <v>200</v>
      </c>
      <c r="K118" t="s">
        <v>201</v>
      </c>
      <c r="R118" t="str">
        <f>"КАЗАХСТАН, С-КАЗАХСТАНСКАЯ, АЙЫРТАУСКИЙ РАЙОН, Володарский, Саумалколь, 12"</f>
        <v>КАЗАХСТАН, С-КАЗАХСТАНСКАЯ, АЙЫРТАУСКИЙ РАЙОН, Володарский, Саумалколь, 12</v>
      </c>
      <c r="S118" t="str">
        <f>"ҚАЗАҚСТАН, СОЛ-ҚАЗАҚСТАН, АЙЫРТАУ АУДАНЫ, Володарский, Саумалколь, 12"</f>
        <v>ҚАЗАҚСТАН, СОЛ-ҚАЗАҚСТАН, АЙЫРТАУ АУДАНЫ, Володарский, Саумалколь, 12</v>
      </c>
      <c r="T118" t="str">
        <f>"Володарский, Саумалколь, 12"</f>
        <v>Володарский, Саумалколь, 12</v>
      </c>
      <c r="U118" t="str">
        <f>"Володарский, Саумалколь, 12"</f>
        <v>Володарский, Саумалколь, 12</v>
      </c>
      <c r="AC118" t="str">
        <f>"2021-11-08T00:00:00"</f>
        <v>2021-11-08T00:00:00</v>
      </c>
      <c r="AD118" t="str">
        <f>"182"</f>
        <v>182</v>
      </c>
      <c r="AG118" t="s">
        <v>646</v>
      </c>
      <c r="AI118" t="s">
        <v>269</v>
      </c>
      <c r="AJ118" t="s">
        <v>348</v>
      </c>
      <c r="AK118" t="s">
        <v>253</v>
      </c>
      <c r="AL118" t="s">
        <v>206</v>
      </c>
      <c r="AN118" t="s">
        <v>254</v>
      </c>
      <c r="AO118">
        <v>1</v>
      </c>
      <c r="AP118" t="s">
        <v>208</v>
      </c>
      <c r="AQ118" t="s">
        <v>209</v>
      </c>
      <c r="AR118" t="s">
        <v>210</v>
      </c>
      <c r="AW118" t="s">
        <v>206</v>
      </c>
      <c r="AX118" t="s">
        <v>211</v>
      </c>
      <c r="AZ118" t="s">
        <v>209</v>
      </c>
      <c r="BI118" t="s">
        <v>212</v>
      </c>
      <c r="BJ118" t="s">
        <v>213</v>
      </c>
      <c r="BK118" t="s">
        <v>214</v>
      </c>
      <c r="BL118" t="s">
        <v>215</v>
      </c>
      <c r="BN118" t="s">
        <v>247</v>
      </c>
      <c r="BO118" t="s">
        <v>209</v>
      </c>
      <c r="BP118" t="s">
        <v>241</v>
      </c>
      <c r="BQ118">
        <v>3</v>
      </c>
      <c r="BS118" t="s">
        <v>219</v>
      </c>
      <c r="BT118" t="s">
        <v>220</v>
      </c>
      <c r="BU118" t="s">
        <v>206</v>
      </c>
      <c r="CA118" t="s">
        <v>287</v>
      </c>
      <c r="CC118" t="s">
        <v>222</v>
      </c>
      <c r="CD118" t="s">
        <v>223</v>
      </c>
      <c r="CE118" t="s">
        <v>242</v>
      </c>
      <c r="CJ118" t="s">
        <v>206</v>
      </c>
      <c r="CK118" t="s">
        <v>230</v>
      </c>
      <c r="CL118" t="s">
        <v>231</v>
      </c>
      <c r="CM118" t="s">
        <v>232</v>
      </c>
      <c r="CN118" t="s">
        <v>233</v>
      </c>
      <c r="CP118" t="s">
        <v>212</v>
      </c>
      <c r="CQ118" t="s">
        <v>212</v>
      </c>
      <c r="CR118" t="s">
        <v>212</v>
      </c>
      <c r="CS118" t="s">
        <v>212</v>
      </c>
      <c r="CY118" t="s">
        <v>212</v>
      </c>
      <c r="DB118" t="s">
        <v>234</v>
      </c>
      <c r="DE118" t="s">
        <v>212</v>
      </c>
      <c r="DF118" t="s">
        <v>212</v>
      </c>
      <c r="DG118" t="s">
        <v>235</v>
      </c>
      <c r="DH118" t="s">
        <v>212</v>
      </c>
      <c r="DJ118" t="s">
        <v>236</v>
      </c>
      <c r="DM118" t="s">
        <v>212</v>
      </c>
    </row>
    <row r="119" spans="1:184" x14ac:dyDescent="0.3">
      <c r="A119">
        <v>21538525</v>
      </c>
      <c r="B119">
        <v>4964359</v>
      </c>
      <c r="C119" t="str">
        <f>"160710605051"</f>
        <v>160710605051</v>
      </c>
      <c r="D119" t="s">
        <v>647</v>
      </c>
      <c r="E119" t="s">
        <v>648</v>
      </c>
      <c r="F119" t="s">
        <v>649</v>
      </c>
      <c r="G119" s="1">
        <v>42561</v>
      </c>
      <c r="I119" t="s">
        <v>199</v>
      </c>
      <c r="J119" t="s">
        <v>200</v>
      </c>
      <c r="K119" t="s">
        <v>201</v>
      </c>
      <c r="R119" t="str">
        <f>"КАЗАХСТАН, ПАВЛОДАРСКАЯ, ИРТЫШСКИЙ РАЙОН, КЫЗЫЛАГАШ, 10, 1"</f>
        <v>КАЗАХСТАН, ПАВЛОДАРСКАЯ, ИРТЫШСКИЙ РАЙОН, КЫЗЫЛАГАШ, 10, 1</v>
      </c>
      <c r="S119" t="str">
        <f>"ҚАЗАҚСТАН, ПАВЛОДАР, ЕРТІС АУДАНЫ, КЫЗЫЛАГАШ, 10, 1"</f>
        <v>ҚАЗАҚСТАН, ПАВЛОДАР, ЕРТІС АУДАНЫ, КЫЗЫЛАГАШ, 10, 1</v>
      </c>
      <c r="T119" t="str">
        <f>"КЫЗЫЛАГАШ, 10, 1"</f>
        <v>КЫЗЫЛАГАШ, 10, 1</v>
      </c>
      <c r="U119" t="str">
        <f>"КЫЗЫЛАГАШ, 10, 1"</f>
        <v>КЫЗЫЛАГАШ, 10, 1</v>
      </c>
      <c r="AC119" t="str">
        <f>"2021-11-16T00:00:00"</f>
        <v>2021-11-16T00:00:00</v>
      </c>
      <c r="AD119" t="str">
        <f>"185"</f>
        <v>185</v>
      </c>
      <c r="AE119" t="str">
        <f>"2023-09-01T17:46:37"</f>
        <v>2023-09-01T17:46:37</v>
      </c>
      <c r="AF119" t="str">
        <f>"2024-05-25T17:46:37"</f>
        <v>2024-05-25T17:46:37</v>
      </c>
      <c r="AG119" t="s">
        <v>333</v>
      </c>
      <c r="AI119" t="s">
        <v>203</v>
      </c>
      <c r="AJ119" t="s">
        <v>570</v>
      </c>
      <c r="AK119" t="s">
        <v>253</v>
      </c>
      <c r="AL119" t="s">
        <v>206</v>
      </c>
      <c r="AN119" t="s">
        <v>254</v>
      </c>
      <c r="AO119">
        <v>2</v>
      </c>
      <c r="AP119" t="s">
        <v>208</v>
      </c>
      <c r="AQ119" t="s">
        <v>209</v>
      </c>
      <c r="AR119" t="s">
        <v>502</v>
      </c>
      <c r="AW119" t="s">
        <v>212</v>
      </c>
      <c r="AZ119" t="s">
        <v>209</v>
      </c>
      <c r="BI119" t="s">
        <v>212</v>
      </c>
      <c r="BJ119" t="s">
        <v>213</v>
      </c>
      <c r="BK119" t="s">
        <v>214</v>
      </c>
      <c r="BL119" t="s">
        <v>357</v>
      </c>
      <c r="BN119" t="s">
        <v>216</v>
      </c>
      <c r="BO119" t="s">
        <v>209</v>
      </c>
      <c r="BP119" t="s">
        <v>241</v>
      </c>
      <c r="BQ119">
        <v>4</v>
      </c>
      <c r="BS119" t="s">
        <v>220</v>
      </c>
      <c r="BU119" t="s">
        <v>212</v>
      </c>
      <c r="BZ119" t="s">
        <v>623</v>
      </c>
      <c r="CA119" t="s">
        <v>287</v>
      </c>
      <c r="CC119" t="s">
        <v>224</v>
      </c>
      <c r="CD119" t="s">
        <v>349</v>
      </c>
      <c r="CE119" t="s">
        <v>242</v>
      </c>
      <c r="CJ119" t="s">
        <v>206</v>
      </c>
      <c r="CK119" t="s">
        <v>230</v>
      </c>
      <c r="CL119" t="s">
        <v>231</v>
      </c>
      <c r="CM119" t="s">
        <v>232</v>
      </c>
      <c r="CN119" t="s">
        <v>233</v>
      </c>
      <c r="CP119" t="s">
        <v>212</v>
      </c>
      <c r="CQ119" t="s">
        <v>212</v>
      </c>
      <c r="CR119" t="s">
        <v>212</v>
      </c>
      <c r="CS119" t="s">
        <v>212</v>
      </c>
      <c r="CY119" t="s">
        <v>212</v>
      </c>
      <c r="DB119" t="s">
        <v>234</v>
      </c>
      <c r="DE119" t="s">
        <v>212</v>
      </c>
      <c r="DF119" t="s">
        <v>212</v>
      </c>
      <c r="DG119" t="s">
        <v>235</v>
      </c>
      <c r="DH119" t="s">
        <v>212</v>
      </c>
      <c r="DJ119" t="s">
        <v>421</v>
      </c>
      <c r="DK119" t="s">
        <v>422</v>
      </c>
      <c r="DL119" t="s">
        <v>423</v>
      </c>
      <c r="DM119" t="s">
        <v>206</v>
      </c>
    </row>
    <row r="120" spans="1:184" x14ac:dyDescent="0.3">
      <c r="A120">
        <v>22155883</v>
      </c>
      <c r="B120">
        <v>851127</v>
      </c>
      <c r="C120" t="str">
        <f>"150605603489"</f>
        <v>150605603489</v>
      </c>
      <c r="D120" t="s">
        <v>650</v>
      </c>
      <c r="E120" t="s">
        <v>651</v>
      </c>
      <c r="F120" t="s">
        <v>652</v>
      </c>
      <c r="G120" s="1">
        <v>42160</v>
      </c>
      <c r="I120" t="s">
        <v>199</v>
      </c>
      <c r="J120" t="s">
        <v>200</v>
      </c>
      <c r="K120" t="s">
        <v>201</v>
      </c>
      <c r="Q120" t="s">
        <v>212</v>
      </c>
      <c r="R120" t="str">
        <f>"КАЗАХСТАН, АКМОЛИНСКАЯ, СТЕПНОГОРСК, 68, 57"</f>
        <v>КАЗАХСТАН, АКМОЛИНСКАЯ, СТЕПНОГОРСК, 68, 57</v>
      </c>
      <c r="S120" t="str">
        <f>"ҚАЗАҚСТАН, АҚМОЛА, СТЕПНОГОР, 68, 57"</f>
        <v>ҚАЗАҚСТАН, АҚМОЛА, СТЕПНОГОР, 68, 57</v>
      </c>
      <c r="T120" t="str">
        <f>"68, 57"</f>
        <v>68, 57</v>
      </c>
      <c r="U120" t="str">
        <f>"68, 57"</f>
        <v>68, 57</v>
      </c>
      <c r="AC120" t="str">
        <f>"2022-07-29T00:00:00"</f>
        <v>2022-07-29T00:00:00</v>
      </c>
      <c r="AD120" t="str">
        <f>"94"</f>
        <v>94</v>
      </c>
      <c r="AE120" t="str">
        <f>"2023-09-01T17:06:28"</f>
        <v>2023-09-01T17:06:28</v>
      </c>
      <c r="AF120" t="str">
        <f>"2024-05-25T17:06:28"</f>
        <v>2024-05-25T17:06:28</v>
      </c>
      <c r="AG120" t="s">
        <v>202</v>
      </c>
      <c r="AI120" t="s">
        <v>203</v>
      </c>
      <c r="AJ120" t="s">
        <v>570</v>
      </c>
      <c r="AK120" t="s">
        <v>434</v>
      </c>
      <c r="AL120" t="s">
        <v>206</v>
      </c>
      <c r="AN120" t="s">
        <v>254</v>
      </c>
      <c r="AO120">
        <v>2</v>
      </c>
      <c r="AP120" t="s">
        <v>208</v>
      </c>
      <c r="AQ120" t="s">
        <v>209</v>
      </c>
      <c r="AR120" t="s">
        <v>502</v>
      </c>
      <c r="AW120" t="s">
        <v>212</v>
      </c>
      <c r="AZ120" t="s">
        <v>209</v>
      </c>
      <c r="BI120" t="s">
        <v>212</v>
      </c>
      <c r="BJ120" t="s">
        <v>213</v>
      </c>
      <c r="BK120" t="s">
        <v>214</v>
      </c>
      <c r="BL120" t="s">
        <v>357</v>
      </c>
      <c r="BN120" t="s">
        <v>247</v>
      </c>
      <c r="BO120" t="s">
        <v>209</v>
      </c>
      <c r="BP120" t="s">
        <v>241</v>
      </c>
      <c r="BQ120">
        <v>3</v>
      </c>
      <c r="BS120" t="s">
        <v>220</v>
      </c>
      <c r="BU120" t="s">
        <v>212</v>
      </c>
      <c r="BZ120" t="s">
        <v>623</v>
      </c>
      <c r="CA120" t="s">
        <v>287</v>
      </c>
      <c r="CC120" t="s">
        <v>222</v>
      </c>
      <c r="CD120" t="s">
        <v>349</v>
      </c>
      <c r="CE120" t="s">
        <v>225</v>
      </c>
      <c r="CF120" t="s">
        <v>610</v>
      </c>
      <c r="CG120" t="s">
        <v>343</v>
      </c>
      <c r="CH120" t="s">
        <v>627</v>
      </c>
      <c r="CI120" t="s">
        <v>628</v>
      </c>
      <c r="CJ120" t="s">
        <v>206</v>
      </c>
      <c r="CK120" t="s">
        <v>230</v>
      </c>
      <c r="CL120" t="s">
        <v>231</v>
      </c>
      <c r="CM120" t="s">
        <v>232</v>
      </c>
      <c r="CN120" t="s">
        <v>233</v>
      </c>
      <c r="CP120" t="s">
        <v>212</v>
      </c>
      <c r="CQ120" t="s">
        <v>212</v>
      </c>
      <c r="CR120" t="s">
        <v>212</v>
      </c>
      <c r="CS120" t="s">
        <v>212</v>
      </c>
      <c r="CY120" t="s">
        <v>212</v>
      </c>
      <c r="DB120" t="s">
        <v>653</v>
      </c>
      <c r="DC120" t="str">
        <f>"№335Трудности формирования чтения  и письма. Общее недоразвитие речи 3 уровня."</f>
        <v>№335Трудности формирования чтения  и письма. Общее недоразвитие речи 3 уровня.</v>
      </c>
      <c r="DD120" t="str">
        <f>"2023-04-25T00:00:00"</f>
        <v>2023-04-25T00:00:00</v>
      </c>
      <c r="DE120" t="s">
        <v>212</v>
      </c>
      <c r="DF120" t="s">
        <v>206</v>
      </c>
      <c r="DG120" t="s">
        <v>235</v>
      </c>
      <c r="DH120" t="s">
        <v>212</v>
      </c>
      <c r="DJ120" t="s">
        <v>236</v>
      </c>
      <c r="DM120" t="s">
        <v>212</v>
      </c>
      <c r="GB120" t="s">
        <v>206</v>
      </c>
    </row>
    <row r="121" spans="1:184" x14ac:dyDescent="0.3">
      <c r="A121">
        <v>22265103</v>
      </c>
      <c r="B121">
        <v>7444361</v>
      </c>
      <c r="C121" t="str">
        <f>"160507500447"</f>
        <v>160507500447</v>
      </c>
      <c r="D121" t="s">
        <v>654</v>
      </c>
      <c r="E121" t="s">
        <v>655</v>
      </c>
      <c r="F121" t="s">
        <v>656</v>
      </c>
      <c r="G121" s="1">
        <v>42497</v>
      </c>
      <c r="I121" t="s">
        <v>240</v>
      </c>
      <c r="J121" t="s">
        <v>200</v>
      </c>
      <c r="K121" t="s">
        <v>201</v>
      </c>
      <c r="Q121" t="s">
        <v>212</v>
      </c>
      <c r="R121" t="str">
        <f>"КАЗАХСТАН, АКМОЛИНСКАЯ, СТЕПНОГОРСК, 33, 14"</f>
        <v>КАЗАХСТАН, АКМОЛИНСКАЯ, СТЕПНОГОРСК, 33, 14</v>
      </c>
      <c r="S121" t="str">
        <f>"ҚАЗАҚСТАН, АҚМОЛА, СТЕПНОГОР, 33, 14"</f>
        <v>ҚАЗАҚСТАН, АҚМОЛА, СТЕПНОГОР, 33, 14</v>
      </c>
      <c r="T121" t="str">
        <f>"33, 14"</f>
        <v>33, 14</v>
      </c>
      <c r="U121" t="str">
        <f>"33, 14"</f>
        <v>33, 14</v>
      </c>
      <c r="AC121" t="str">
        <f>"2022-08-25T00:00:00"</f>
        <v>2022-08-25T00:00:00</v>
      </c>
      <c r="AD121" t="str">
        <f>"120"</f>
        <v>120</v>
      </c>
      <c r="AG121" t="s">
        <v>202</v>
      </c>
      <c r="AI121" t="s">
        <v>299</v>
      </c>
      <c r="AJ121" t="s">
        <v>570</v>
      </c>
      <c r="AK121" t="s">
        <v>261</v>
      </c>
      <c r="AL121" t="s">
        <v>206</v>
      </c>
      <c r="AN121" t="s">
        <v>207</v>
      </c>
      <c r="AO121">
        <v>2</v>
      </c>
      <c r="AP121" t="s">
        <v>208</v>
      </c>
      <c r="AQ121" t="s">
        <v>209</v>
      </c>
      <c r="AR121" t="s">
        <v>502</v>
      </c>
      <c r="AW121" t="s">
        <v>212</v>
      </c>
      <c r="AZ121" t="s">
        <v>209</v>
      </c>
      <c r="BI121" t="s">
        <v>212</v>
      </c>
      <c r="BJ121" t="s">
        <v>213</v>
      </c>
      <c r="BK121" t="s">
        <v>214</v>
      </c>
      <c r="BL121" t="s">
        <v>357</v>
      </c>
      <c r="BN121" t="s">
        <v>281</v>
      </c>
      <c r="BO121" t="s">
        <v>209</v>
      </c>
      <c r="BP121" t="s">
        <v>241</v>
      </c>
      <c r="BQ121">
        <v>5</v>
      </c>
      <c r="BS121" t="s">
        <v>220</v>
      </c>
      <c r="BU121" t="s">
        <v>212</v>
      </c>
      <c r="BZ121" t="s">
        <v>571</v>
      </c>
      <c r="CA121" t="s">
        <v>287</v>
      </c>
      <c r="CC121" t="s">
        <v>209</v>
      </c>
      <c r="CE121" t="s">
        <v>242</v>
      </c>
      <c r="CJ121" t="s">
        <v>206</v>
      </c>
      <c r="CK121" t="s">
        <v>230</v>
      </c>
      <c r="CL121" t="s">
        <v>231</v>
      </c>
      <c r="CM121" t="s">
        <v>232</v>
      </c>
      <c r="CN121" t="s">
        <v>233</v>
      </c>
      <c r="CP121" t="s">
        <v>212</v>
      </c>
      <c r="CQ121" t="s">
        <v>212</v>
      </c>
      <c r="CR121" t="s">
        <v>212</v>
      </c>
      <c r="CS121" t="s">
        <v>212</v>
      </c>
      <c r="CY121" t="s">
        <v>212</v>
      </c>
      <c r="DB121" t="s">
        <v>234</v>
      </c>
      <c r="DE121" t="s">
        <v>212</v>
      </c>
      <c r="DF121" t="s">
        <v>212</v>
      </c>
      <c r="DG121" t="s">
        <v>235</v>
      </c>
      <c r="DH121" t="s">
        <v>212</v>
      </c>
      <c r="DJ121" t="s">
        <v>236</v>
      </c>
      <c r="DM121" t="s">
        <v>206</v>
      </c>
      <c r="GB121" t="s">
        <v>206</v>
      </c>
    </row>
    <row r="122" spans="1:184" x14ac:dyDescent="0.3">
      <c r="A122">
        <v>22282217</v>
      </c>
      <c r="B122">
        <v>12500740</v>
      </c>
      <c r="C122" t="str">
        <f>"160304501739"</f>
        <v>160304501739</v>
      </c>
      <c r="D122" t="s">
        <v>657</v>
      </c>
      <c r="E122" t="s">
        <v>658</v>
      </c>
      <c r="F122" t="s">
        <v>659</v>
      </c>
      <c r="G122" s="1">
        <v>42433</v>
      </c>
      <c r="I122" t="s">
        <v>240</v>
      </c>
      <c r="J122" t="s">
        <v>200</v>
      </c>
      <c r="K122" t="s">
        <v>260</v>
      </c>
      <c r="Q122" t="s">
        <v>212</v>
      </c>
      <c r="R122" t="str">
        <f>"КАЗАХСТАН, АКМОЛИНСКАЯ, СТЕПНОГОРСК, КЕНТI Аксу, 9, 8"</f>
        <v>КАЗАХСТАН, АКМОЛИНСКАЯ, СТЕПНОГОРСК, КЕНТI Аксу, 9, 8</v>
      </c>
      <c r="S122" t="str">
        <f>"ҚАЗАҚСТАН, АҚМОЛА, СТЕПНОГОР, КЕНТI Аксу, 9, 8"</f>
        <v>ҚАЗАҚСТАН, АҚМОЛА, СТЕПНОГОР, КЕНТI Аксу, 9, 8</v>
      </c>
      <c r="T122" t="str">
        <f>"КЕНТI Аксу, 9, 8"</f>
        <v>КЕНТI Аксу, 9, 8</v>
      </c>
      <c r="U122" t="str">
        <f>"КЕНТI Аксу, 9, 8"</f>
        <v>КЕНТI Аксу, 9, 8</v>
      </c>
      <c r="AC122" t="str">
        <f>"2023-09-07T00:00:00"</f>
        <v>2023-09-07T00:00:00</v>
      </c>
      <c r="AD122" t="str">
        <f>"75\\1"</f>
        <v>75\\1</v>
      </c>
      <c r="AE122" t="str">
        <f>"2023-09-01T16:27:59"</f>
        <v>2023-09-01T16:27:59</v>
      </c>
      <c r="AF122" t="str">
        <f>"2024-05-25T16:27:59"</f>
        <v>2024-05-25T16:27:59</v>
      </c>
      <c r="AG122" t="s">
        <v>202</v>
      </c>
      <c r="AI122" t="s">
        <v>299</v>
      </c>
      <c r="AJ122" t="s">
        <v>660</v>
      </c>
      <c r="AK122" t="s">
        <v>246</v>
      </c>
      <c r="AL122" t="s">
        <v>206</v>
      </c>
      <c r="AN122" t="s">
        <v>207</v>
      </c>
      <c r="AO122">
        <v>1</v>
      </c>
      <c r="AP122" t="s">
        <v>208</v>
      </c>
      <c r="AQ122" t="s">
        <v>209</v>
      </c>
      <c r="AR122" t="s">
        <v>502</v>
      </c>
      <c r="AW122" t="s">
        <v>212</v>
      </c>
      <c r="AZ122" t="s">
        <v>209</v>
      </c>
      <c r="BI122" t="s">
        <v>212</v>
      </c>
      <c r="BJ122" t="s">
        <v>213</v>
      </c>
      <c r="BK122" t="s">
        <v>214</v>
      </c>
      <c r="BL122" t="s">
        <v>357</v>
      </c>
      <c r="BN122" t="s">
        <v>661</v>
      </c>
      <c r="BO122" t="s">
        <v>209</v>
      </c>
      <c r="BS122" t="s">
        <v>220</v>
      </c>
      <c r="BU122" t="s">
        <v>212</v>
      </c>
      <c r="BX122" t="s">
        <v>221</v>
      </c>
      <c r="BY122" t="s">
        <v>221</v>
      </c>
      <c r="BZ122" t="s">
        <v>662</v>
      </c>
      <c r="CA122" t="s">
        <v>287</v>
      </c>
      <c r="CC122" t="s">
        <v>222</v>
      </c>
      <c r="CD122" t="s">
        <v>223</v>
      </c>
      <c r="CE122" t="s">
        <v>242</v>
      </c>
      <c r="CJ122" t="s">
        <v>206</v>
      </c>
      <c r="CK122" t="s">
        <v>230</v>
      </c>
      <c r="CL122" t="s">
        <v>231</v>
      </c>
      <c r="CM122" t="s">
        <v>232</v>
      </c>
      <c r="CN122" t="s">
        <v>233</v>
      </c>
      <c r="CP122" t="s">
        <v>212</v>
      </c>
      <c r="CQ122" t="s">
        <v>212</v>
      </c>
      <c r="CR122" t="s">
        <v>212</v>
      </c>
      <c r="CS122" t="s">
        <v>212</v>
      </c>
      <c r="CY122" t="s">
        <v>212</v>
      </c>
      <c r="DB122" t="s">
        <v>234</v>
      </c>
      <c r="DE122" t="s">
        <v>212</v>
      </c>
      <c r="DF122" t="s">
        <v>212</v>
      </c>
      <c r="DG122" t="s">
        <v>235</v>
      </c>
      <c r="DH122" t="s">
        <v>206</v>
      </c>
      <c r="DI122" t="s">
        <v>663</v>
      </c>
      <c r="DJ122" t="s">
        <v>664</v>
      </c>
      <c r="DK122" t="s">
        <v>422</v>
      </c>
      <c r="DL122" t="s">
        <v>423</v>
      </c>
      <c r="DM122" t="s">
        <v>206</v>
      </c>
    </row>
    <row r="123" spans="1:184" x14ac:dyDescent="0.3">
      <c r="A123">
        <v>22284921</v>
      </c>
      <c r="B123">
        <v>828188</v>
      </c>
      <c r="C123" t="str">
        <f>"150825606261"</f>
        <v>150825606261</v>
      </c>
      <c r="D123" t="s">
        <v>665</v>
      </c>
      <c r="E123" t="s">
        <v>666</v>
      </c>
      <c r="F123" t="s">
        <v>667</v>
      </c>
      <c r="G123" s="1">
        <v>42241</v>
      </c>
      <c r="I123" t="s">
        <v>199</v>
      </c>
      <c r="J123" t="s">
        <v>200</v>
      </c>
      <c r="K123" t="s">
        <v>201</v>
      </c>
      <c r="R123" t="str">
        <f>"КАЗАХСТАН, АКМОЛИНСКАЯ, СТЕПНОГОРСК, 50, 39"</f>
        <v>КАЗАХСТАН, АКМОЛИНСКАЯ, СТЕПНОГОРСК, 50, 39</v>
      </c>
      <c r="S123" t="str">
        <f>"ҚАЗАҚСТАН, АҚМОЛА, СТЕПНОГОР, 50, 39"</f>
        <v>ҚАЗАҚСТАН, АҚМОЛА, СТЕПНОГОР, 50, 39</v>
      </c>
      <c r="T123" t="str">
        <f>"50, 39"</f>
        <v>50, 39</v>
      </c>
      <c r="U123" t="str">
        <f>"50, 39"</f>
        <v>50, 39</v>
      </c>
      <c r="AC123" t="str">
        <f>"2021-09-01T00:00:00"</f>
        <v>2021-09-01T00:00:00</v>
      </c>
      <c r="AD123" t="str">
        <f>"35"</f>
        <v>35</v>
      </c>
      <c r="AG123" t="s">
        <v>202</v>
      </c>
      <c r="AI123" t="s">
        <v>299</v>
      </c>
      <c r="AJ123" t="s">
        <v>540</v>
      </c>
      <c r="AK123" t="s">
        <v>261</v>
      </c>
      <c r="AL123" t="s">
        <v>206</v>
      </c>
      <c r="AN123" t="s">
        <v>207</v>
      </c>
      <c r="AO123">
        <v>2</v>
      </c>
      <c r="AP123" t="s">
        <v>208</v>
      </c>
      <c r="AQ123" t="s">
        <v>209</v>
      </c>
      <c r="AR123" t="s">
        <v>502</v>
      </c>
      <c r="AW123" t="s">
        <v>212</v>
      </c>
      <c r="AZ123" t="s">
        <v>209</v>
      </c>
      <c r="BI123" t="s">
        <v>212</v>
      </c>
      <c r="BJ123" t="s">
        <v>213</v>
      </c>
      <c r="BK123" t="s">
        <v>214</v>
      </c>
      <c r="BL123" t="s">
        <v>420</v>
      </c>
      <c r="BN123" t="s">
        <v>216</v>
      </c>
      <c r="BO123" t="s">
        <v>209</v>
      </c>
      <c r="BP123" t="s">
        <v>241</v>
      </c>
      <c r="BQ123">
        <v>4</v>
      </c>
      <c r="BS123" t="s">
        <v>219</v>
      </c>
      <c r="BT123" t="s">
        <v>220</v>
      </c>
      <c r="BU123" t="s">
        <v>206</v>
      </c>
      <c r="BZ123" t="s">
        <v>541</v>
      </c>
      <c r="CA123" t="s">
        <v>287</v>
      </c>
      <c r="CC123" t="s">
        <v>222</v>
      </c>
      <c r="CD123" t="s">
        <v>223</v>
      </c>
      <c r="CE123" t="s">
        <v>242</v>
      </c>
      <c r="CJ123" t="s">
        <v>206</v>
      </c>
      <c r="CK123" t="s">
        <v>230</v>
      </c>
      <c r="CL123" t="s">
        <v>231</v>
      </c>
      <c r="CM123" t="s">
        <v>232</v>
      </c>
      <c r="CN123" t="s">
        <v>233</v>
      </c>
      <c r="CP123" t="s">
        <v>212</v>
      </c>
      <c r="CQ123" t="s">
        <v>212</v>
      </c>
      <c r="CR123" t="s">
        <v>212</v>
      </c>
      <c r="CS123" t="s">
        <v>212</v>
      </c>
      <c r="CY123" t="s">
        <v>212</v>
      </c>
      <c r="DB123" t="s">
        <v>234</v>
      </c>
      <c r="DE123" t="s">
        <v>212</v>
      </c>
      <c r="DF123" t="s">
        <v>212</v>
      </c>
      <c r="DG123" t="s">
        <v>235</v>
      </c>
      <c r="DH123" t="s">
        <v>212</v>
      </c>
      <c r="DJ123" t="s">
        <v>236</v>
      </c>
      <c r="DM123" t="s">
        <v>212</v>
      </c>
    </row>
    <row r="124" spans="1:184" x14ac:dyDescent="0.3">
      <c r="A124">
        <v>22336149</v>
      </c>
      <c r="B124">
        <v>9960160</v>
      </c>
      <c r="C124" t="str">
        <f>"160617505684"</f>
        <v>160617505684</v>
      </c>
      <c r="D124" t="s">
        <v>668</v>
      </c>
      <c r="E124" t="s">
        <v>669</v>
      </c>
      <c r="F124" t="s">
        <v>670</v>
      </c>
      <c r="G124" s="1">
        <v>42538</v>
      </c>
      <c r="I124" t="s">
        <v>240</v>
      </c>
      <c r="J124" t="s">
        <v>200</v>
      </c>
      <c r="K124" t="s">
        <v>201</v>
      </c>
      <c r="R124" t="str">
        <f>"КАЗАХСТАН, АКМОЛИНСКАЯ, СТЕПНОГОРСК, 12, 51"</f>
        <v>КАЗАХСТАН, АКМОЛИНСКАЯ, СТЕПНОГОРСК, 12, 51</v>
      </c>
      <c r="S124" t="str">
        <f>"ҚАЗАҚСТАН, АҚМОЛА, СТЕПНОГОР, 12, 51"</f>
        <v>ҚАЗАҚСТАН, АҚМОЛА, СТЕПНОГОР, 12, 51</v>
      </c>
      <c r="T124" t="str">
        <f>"12, 51"</f>
        <v>12, 51</v>
      </c>
      <c r="U124" t="str">
        <f>"12, 51"</f>
        <v>12, 51</v>
      </c>
      <c r="AC124" t="str">
        <f>"2021-08-29T00:00:00"</f>
        <v>2021-08-29T00:00:00</v>
      </c>
      <c r="AD124" t="str">
        <f>"35"</f>
        <v>35</v>
      </c>
      <c r="AE124" t="str">
        <f>"2023-09-01T17:16:47"</f>
        <v>2023-09-01T17:16:47</v>
      </c>
      <c r="AF124" t="str">
        <f>"2024-05-25T17:16:47"</f>
        <v>2024-05-25T17:16:47</v>
      </c>
      <c r="AG124" t="s">
        <v>202</v>
      </c>
      <c r="AI124" t="s">
        <v>299</v>
      </c>
      <c r="AJ124" t="s">
        <v>570</v>
      </c>
      <c r="AK124" t="s">
        <v>434</v>
      </c>
      <c r="AL124" t="s">
        <v>206</v>
      </c>
      <c r="AN124" t="s">
        <v>254</v>
      </c>
      <c r="AO124">
        <v>2</v>
      </c>
      <c r="AP124" t="s">
        <v>208</v>
      </c>
      <c r="AQ124" t="s">
        <v>209</v>
      </c>
      <c r="AR124" t="s">
        <v>502</v>
      </c>
      <c r="AW124" t="s">
        <v>212</v>
      </c>
      <c r="AZ124" t="s">
        <v>209</v>
      </c>
      <c r="BI124" t="s">
        <v>212</v>
      </c>
      <c r="BJ124" t="s">
        <v>213</v>
      </c>
      <c r="BK124" t="s">
        <v>214</v>
      </c>
      <c r="BL124" t="s">
        <v>357</v>
      </c>
      <c r="BN124" t="s">
        <v>281</v>
      </c>
      <c r="BO124" t="s">
        <v>209</v>
      </c>
      <c r="BP124" t="s">
        <v>241</v>
      </c>
      <c r="BQ124">
        <v>5</v>
      </c>
      <c r="BS124" t="s">
        <v>220</v>
      </c>
      <c r="BU124" t="s">
        <v>212</v>
      </c>
      <c r="BZ124" t="s">
        <v>571</v>
      </c>
      <c r="CA124" t="s">
        <v>287</v>
      </c>
      <c r="CC124" t="s">
        <v>222</v>
      </c>
      <c r="CD124" t="s">
        <v>223</v>
      </c>
      <c r="CE124" t="s">
        <v>242</v>
      </c>
      <c r="CJ124" t="s">
        <v>206</v>
      </c>
      <c r="CK124" t="s">
        <v>230</v>
      </c>
      <c r="CL124" t="s">
        <v>231</v>
      </c>
      <c r="CM124" t="s">
        <v>232</v>
      </c>
      <c r="CN124" t="s">
        <v>233</v>
      </c>
      <c r="CP124" t="s">
        <v>212</v>
      </c>
      <c r="CQ124" t="s">
        <v>212</v>
      </c>
      <c r="CR124" t="s">
        <v>212</v>
      </c>
      <c r="CS124" t="s">
        <v>212</v>
      </c>
      <c r="CY124" t="s">
        <v>212</v>
      </c>
      <c r="DB124" t="s">
        <v>234</v>
      </c>
      <c r="DE124" t="s">
        <v>212</v>
      </c>
      <c r="DF124" t="s">
        <v>212</v>
      </c>
      <c r="DG124" t="s">
        <v>235</v>
      </c>
      <c r="DH124" t="s">
        <v>212</v>
      </c>
      <c r="DJ124" t="s">
        <v>236</v>
      </c>
      <c r="DM124" t="s">
        <v>212</v>
      </c>
    </row>
    <row r="125" spans="1:184" x14ac:dyDescent="0.3">
      <c r="A125">
        <v>22369845</v>
      </c>
      <c r="B125">
        <v>180919</v>
      </c>
      <c r="C125" t="str">
        <f>"110904600323"</f>
        <v>110904600323</v>
      </c>
      <c r="D125" t="s">
        <v>671</v>
      </c>
      <c r="E125" t="s">
        <v>459</v>
      </c>
      <c r="F125" t="s">
        <v>460</v>
      </c>
      <c r="G125" s="1">
        <v>40790</v>
      </c>
      <c r="I125" t="s">
        <v>199</v>
      </c>
      <c r="J125" t="s">
        <v>200</v>
      </c>
      <c r="K125" t="s">
        <v>201</v>
      </c>
      <c r="R125" t="str">
        <f>"КАЗАХСТАН, АКМОЛИНСКАЯ, СТЕПНОГОРСК, 84, 135"</f>
        <v>КАЗАХСТАН, АКМОЛИНСКАЯ, СТЕПНОГОРСК, 84, 135</v>
      </c>
      <c r="S125" t="str">
        <f>"ҚАЗАҚСТАН, АҚМОЛА, СТЕПНОГОР, 84, 135"</f>
        <v>ҚАЗАҚСТАН, АҚМОЛА, СТЕПНОГОР, 84, 135</v>
      </c>
      <c r="T125" t="str">
        <f>"84, 135"</f>
        <v>84, 135</v>
      </c>
      <c r="U125" t="str">
        <f>"84, 135"</f>
        <v>84, 135</v>
      </c>
      <c r="AC125" t="str">
        <f>"2022-06-27T00:00:00"</f>
        <v>2022-06-27T00:00:00</v>
      </c>
      <c r="AD125" t="str">
        <f>"41"</f>
        <v>41</v>
      </c>
      <c r="AE125" t="str">
        <f>"2023-09-01T17:28:05"</f>
        <v>2023-09-01T17:28:05</v>
      </c>
      <c r="AF125" t="str">
        <f>"2024-05-25T17:28:05"</f>
        <v>2024-05-25T17:28:05</v>
      </c>
      <c r="AG125" t="s">
        <v>202</v>
      </c>
      <c r="AI125" t="s">
        <v>203</v>
      </c>
      <c r="AJ125" t="s">
        <v>348</v>
      </c>
      <c r="AK125" t="s">
        <v>205</v>
      </c>
      <c r="AL125" t="s">
        <v>206</v>
      </c>
      <c r="AN125" t="s">
        <v>207</v>
      </c>
      <c r="AO125">
        <v>1</v>
      </c>
      <c r="AP125" t="s">
        <v>208</v>
      </c>
      <c r="AQ125" t="s">
        <v>209</v>
      </c>
      <c r="AR125" t="s">
        <v>307</v>
      </c>
      <c r="AW125" t="s">
        <v>206</v>
      </c>
      <c r="AX125" t="s">
        <v>211</v>
      </c>
      <c r="AZ125" t="s">
        <v>209</v>
      </c>
      <c r="BI125" t="s">
        <v>212</v>
      </c>
      <c r="BJ125" t="s">
        <v>213</v>
      </c>
      <c r="BK125" t="s">
        <v>214</v>
      </c>
      <c r="BL125" t="s">
        <v>215</v>
      </c>
      <c r="BN125" t="s">
        <v>216</v>
      </c>
      <c r="BO125" t="s">
        <v>209</v>
      </c>
      <c r="BP125" t="s">
        <v>672</v>
      </c>
      <c r="BQ125" t="s">
        <v>673</v>
      </c>
      <c r="BS125" t="s">
        <v>219</v>
      </c>
      <c r="BT125" t="s">
        <v>220</v>
      </c>
      <c r="BU125" t="s">
        <v>206</v>
      </c>
      <c r="BX125" t="s">
        <v>221</v>
      </c>
      <c r="BY125" t="s">
        <v>221</v>
      </c>
      <c r="CA125" t="s">
        <v>287</v>
      </c>
      <c r="CC125" t="s">
        <v>224</v>
      </c>
      <c r="CD125" t="s">
        <v>349</v>
      </c>
      <c r="CE125" t="s">
        <v>242</v>
      </c>
      <c r="CJ125" t="s">
        <v>206</v>
      </c>
      <c r="CK125" t="s">
        <v>230</v>
      </c>
      <c r="CL125" t="s">
        <v>231</v>
      </c>
      <c r="CM125" t="s">
        <v>232</v>
      </c>
      <c r="CN125" t="s">
        <v>233</v>
      </c>
      <c r="CP125" t="s">
        <v>212</v>
      </c>
      <c r="CQ125" t="s">
        <v>212</v>
      </c>
      <c r="CR125" t="s">
        <v>212</v>
      </c>
      <c r="CS125" t="s">
        <v>212</v>
      </c>
      <c r="CY125" t="s">
        <v>212</v>
      </c>
      <c r="DB125" t="s">
        <v>234</v>
      </c>
      <c r="DE125" t="s">
        <v>212</v>
      </c>
      <c r="DF125" t="s">
        <v>212</v>
      </c>
      <c r="DG125" t="s">
        <v>235</v>
      </c>
      <c r="DH125" t="s">
        <v>212</v>
      </c>
      <c r="DJ125" t="s">
        <v>236</v>
      </c>
      <c r="DM125" t="s">
        <v>212</v>
      </c>
    </row>
    <row r="126" spans="1:184" x14ac:dyDescent="0.3">
      <c r="A126">
        <v>22369849</v>
      </c>
      <c r="B126">
        <v>179163</v>
      </c>
      <c r="C126" t="str">
        <f>"090920650182"</f>
        <v>090920650182</v>
      </c>
      <c r="D126" t="s">
        <v>671</v>
      </c>
      <c r="E126" t="s">
        <v>674</v>
      </c>
      <c r="F126" t="s">
        <v>460</v>
      </c>
      <c r="G126" s="1">
        <v>40076</v>
      </c>
      <c r="I126" t="s">
        <v>199</v>
      </c>
      <c r="J126" t="s">
        <v>200</v>
      </c>
      <c r="K126" t="s">
        <v>201</v>
      </c>
      <c r="R126" t="str">
        <f>"КАЗАХСТАН, АКМОЛИНСКАЯ, СТЕПНОГОРСК, 84, 135"</f>
        <v>КАЗАХСТАН, АКМОЛИНСКАЯ, СТЕПНОГОРСК, 84, 135</v>
      </c>
      <c r="S126" t="str">
        <f>"ҚАЗАҚСТАН, АҚМОЛА, СТЕПНОГОР, 84, 135"</f>
        <v>ҚАЗАҚСТАН, АҚМОЛА, СТЕПНОГОР, 84, 135</v>
      </c>
      <c r="T126" t="str">
        <f>"84, 135"</f>
        <v>84, 135</v>
      </c>
      <c r="U126" t="str">
        <f>"84, 135"</f>
        <v>84, 135</v>
      </c>
      <c r="AC126" t="str">
        <f>"2022-06-27T00:00:00"</f>
        <v>2022-06-27T00:00:00</v>
      </c>
      <c r="AD126" t="str">
        <f>"42"</f>
        <v>42</v>
      </c>
      <c r="AE126" t="str">
        <f>"2023-09-01T00:45:14"</f>
        <v>2023-09-01T00:45:14</v>
      </c>
      <c r="AF126" t="str">
        <f>"2024-05-25T00:45:14"</f>
        <v>2024-05-25T00:45:14</v>
      </c>
      <c r="AG126" t="s">
        <v>202</v>
      </c>
      <c r="AH126" t="str">
        <f>"ckool007@mail.ru"</f>
        <v>ckool007@mail.ru</v>
      </c>
      <c r="AI126" t="s">
        <v>274</v>
      </c>
      <c r="AJ126" t="s">
        <v>286</v>
      </c>
      <c r="AK126" t="s">
        <v>261</v>
      </c>
      <c r="AL126" t="s">
        <v>206</v>
      </c>
      <c r="AN126" t="s">
        <v>207</v>
      </c>
      <c r="AO126">
        <v>1</v>
      </c>
      <c r="AP126" t="s">
        <v>208</v>
      </c>
      <c r="AQ126" t="s">
        <v>209</v>
      </c>
      <c r="AR126" t="s">
        <v>210</v>
      </c>
      <c r="AW126" t="s">
        <v>206</v>
      </c>
      <c r="AX126" t="s">
        <v>211</v>
      </c>
      <c r="AZ126" t="s">
        <v>209</v>
      </c>
      <c r="BI126" t="s">
        <v>212</v>
      </c>
      <c r="BJ126" t="s">
        <v>213</v>
      </c>
      <c r="BK126" t="s">
        <v>214</v>
      </c>
      <c r="BL126" t="s">
        <v>215</v>
      </c>
      <c r="BN126" t="s">
        <v>216</v>
      </c>
      <c r="BO126" t="s">
        <v>209</v>
      </c>
      <c r="BP126" t="s">
        <v>217</v>
      </c>
      <c r="BQ126" t="s">
        <v>218</v>
      </c>
      <c r="BS126" t="s">
        <v>219</v>
      </c>
      <c r="BT126" t="s">
        <v>220</v>
      </c>
      <c r="BU126" t="s">
        <v>206</v>
      </c>
      <c r="CA126" t="s">
        <v>287</v>
      </c>
      <c r="CC126" t="s">
        <v>310</v>
      </c>
      <c r="CD126" t="s">
        <v>223</v>
      </c>
      <c r="CE126" t="s">
        <v>242</v>
      </c>
      <c r="CJ126" t="s">
        <v>206</v>
      </c>
      <c r="CK126" t="s">
        <v>230</v>
      </c>
      <c r="CL126" t="s">
        <v>231</v>
      </c>
      <c r="CM126" t="s">
        <v>232</v>
      </c>
      <c r="CN126" t="s">
        <v>233</v>
      </c>
      <c r="CP126" t="s">
        <v>212</v>
      </c>
      <c r="CQ126" t="s">
        <v>212</v>
      </c>
      <c r="CR126" t="s">
        <v>212</v>
      </c>
      <c r="CS126" t="s">
        <v>212</v>
      </c>
      <c r="CY126" t="s">
        <v>212</v>
      </c>
      <c r="DB126" t="s">
        <v>234</v>
      </c>
      <c r="DE126" t="s">
        <v>212</v>
      </c>
      <c r="DF126" t="s">
        <v>212</v>
      </c>
      <c r="DG126" t="s">
        <v>235</v>
      </c>
      <c r="DH126" t="s">
        <v>212</v>
      </c>
      <c r="DJ126" t="s">
        <v>236</v>
      </c>
      <c r="DM126" t="s">
        <v>212</v>
      </c>
    </row>
    <row r="127" spans="1:184" x14ac:dyDescent="0.3">
      <c r="A127">
        <v>22282187</v>
      </c>
      <c r="B127">
        <v>9102852</v>
      </c>
      <c r="C127" t="str">
        <f>"150630501363"</f>
        <v>150630501363</v>
      </c>
      <c r="D127" t="s">
        <v>675</v>
      </c>
      <c r="E127" t="s">
        <v>532</v>
      </c>
      <c r="F127" t="s">
        <v>676</v>
      </c>
      <c r="G127" s="1">
        <v>42185</v>
      </c>
      <c r="I127" t="s">
        <v>240</v>
      </c>
      <c r="J127" t="s">
        <v>200</v>
      </c>
      <c r="K127" t="s">
        <v>260</v>
      </c>
      <c r="R127" t="str">
        <f>"КАЗАХСТАН, АКМОЛИНСКАЯ, СТЕПНОГОРСК, 18, 813"</f>
        <v>КАЗАХСТАН, АКМОЛИНСКАЯ, СТЕПНОГОРСК, 18, 813</v>
      </c>
      <c r="S127" t="str">
        <f>"ҚАЗАҚСТАН, АҚМОЛА, СТЕПНОГОР, 18, 813"</f>
        <v>ҚАЗАҚСТАН, АҚМОЛА, СТЕПНОГОР, 18, 813</v>
      </c>
      <c r="T127" t="str">
        <f>"18, 813"</f>
        <v>18, 813</v>
      </c>
      <c r="U127" t="str">
        <f>"18, 813"</f>
        <v>18, 813</v>
      </c>
      <c r="AC127" t="str">
        <f>"2021-09-01T00:00:00"</f>
        <v>2021-09-01T00:00:00</v>
      </c>
      <c r="AD127" t="str">
        <f>"35"</f>
        <v>35</v>
      </c>
      <c r="AG127" t="s">
        <v>202</v>
      </c>
      <c r="AI127" t="s">
        <v>299</v>
      </c>
      <c r="AJ127" t="s">
        <v>570</v>
      </c>
      <c r="AK127" t="s">
        <v>246</v>
      </c>
      <c r="AL127" t="s">
        <v>206</v>
      </c>
      <c r="AN127" t="s">
        <v>207</v>
      </c>
      <c r="AO127">
        <v>1</v>
      </c>
      <c r="AP127" t="s">
        <v>208</v>
      </c>
      <c r="AQ127" t="s">
        <v>209</v>
      </c>
      <c r="AR127" t="s">
        <v>502</v>
      </c>
      <c r="AW127" t="s">
        <v>212</v>
      </c>
      <c r="AZ127" t="s">
        <v>209</v>
      </c>
      <c r="BI127" t="s">
        <v>212</v>
      </c>
      <c r="BJ127" t="s">
        <v>213</v>
      </c>
      <c r="BK127" t="s">
        <v>214</v>
      </c>
      <c r="BL127" t="s">
        <v>357</v>
      </c>
      <c r="BN127" t="s">
        <v>216</v>
      </c>
      <c r="BO127" t="s">
        <v>209</v>
      </c>
      <c r="BP127" t="s">
        <v>241</v>
      </c>
      <c r="BQ127">
        <v>4</v>
      </c>
      <c r="BS127" t="s">
        <v>220</v>
      </c>
      <c r="BU127" t="s">
        <v>212</v>
      </c>
      <c r="BZ127" t="s">
        <v>571</v>
      </c>
      <c r="CA127" t="s">
        <v>287</v>
      </c>
      <c r="CC127" t="s">
        <v>222</v>
      </c>
      <c r="CD127" t="s">
        <v>223</v>
      </c>
      <c r="CE127" t="s">
        <v>242</v>
      </c>
      <c r="CJ127" t="s">
        <v>206</v>
      </c>
      <c r="CK127" t="s">
        <v>230</v>
      </c>
      <c r="CL127" t="s">
        <v>231</v>
      </c>
      <c r="CM127" t="s">
        <v>232</v>
      </c>
      <c r="CN127" t="s">
        <v>233</v>
      </c>
      <c r="CP127" t="s">
        <v>212</v>
      </c>
      <c r="CQ127" t="s">
        <v>212</v>
      </c>
      <c r="CR127" t="s">
        <v>212</v>
      </c>
      <c r="CS127" t="s">
        <v>212</v>
      </c>
      <c r="CY127" t="s">
        <v>212</v>
      </c>
      <c r="DB127" t="s">
        <v>234</v>
      </c>
      <c r="DE127" t="s">
        <v>212</v>
      </c>
      <c r="DF127" t="s">
        <v>212</v>
      </c>
      <c r="DG127" t="s">
        <v>235</v>
      </c>
      <c r="DH127" t="s">
        <v>212</v>
      </c>
      <c r="DJ127" t="s">
        <v>236</v>
      </c>
      <c r="DM127" t="s">
        <v>206</v>
      </c>
    </row>
    <row r="128" spans="1:184" x14ac:dyDescent="0.3">
      <c r="A128">
        <v>22189155</v>
      </c>
      <c r="B128">
        <v>807622</v>
      </c>
      <c r="C128" t="str">
        <f>"150228600465"</f>
        <v>150228600465</v>
      </c>
      <c r="D128" t="s">
        <v>278</v>
      </c>
      <c r="E128" t="s">
        <v>677</v>
      </c>
      <c r="F128" t="s">
        <v>280</v>
      </c>
      <c r="G128" s="1">
        <v>42063</v>
      </c>
      <c r="I128" t="s">
        <v>199</v>
      </c>
      <c r="J128" t="s">
        <v>200</v>
      </c>
      <c r="K128" t="s">
        <v>201</v>
      </c>
      <c r="R128" t="str">
        <f>"КАЗАХСТАН, АКМОЛИНСКАЯ, СТЕПНОГОРСК, 26, 4"</f>
        <v>КАЗАХСТАН, АКМОЛИНСКАЯ, СТЕПНОГОРСК, 26, 4</v>
      </c>
      <c r="S128" t="str">
        <f>"ҚАЗАҚСТАН, АҚМОЛА, СТЕПНОГОР, 26, 4"</f>
        <v>ҚАЗАҚСТАН, АҚМОЛА, СТЕПНОГОР, 26, 4</v>
      </c>
      <c r="T128" t="str">
        <f>"26, 4"</f>
        <v>26, 4</v>
      </c>
      <c r="U128" t="str">
        <f>"26, 4"</f>
        <v>26, 4</v>
      </c>
      <c r="AC128" t="str">
        <f>"2022-08-25T00:00:00"</f>
        <v>2022-08-25T00:00:00</v>
      </c>
      <c r="AD128" t="str">
        <f>"120"</f>
        <v>120</v>
      </c>
      <c r="AG128" t="s">
        <v>202</v>
      </c>
      <c r="AI128" t="s">
        <v>299</v>
      </c>
      <c r="AJ128" t="s">
        <v>570</v>
      </c>
      <c r="AK128" t="s">
        <v>205</v>
      </c>
      <c r="AL128" t="s">
        <v>206</v>
      </c>
      <c r="AN128" t="s">
        <v>207</v>
      </c>
      <c r="AO128">
        <v>2</v>
      </c>
      <c r="AP128" t="s">
        <v>208</v>
      </c>
      <c r="AQ128" t="s">
        <v>209</v>
      </c>
      <c r="AR128" t="s">
        <v>502</v>
      </c>
      <c r="AW128" t="s">
        <v>212</v>
      </c>
      <c r="AZ128" t="s">
        <v>209</v>
      </c>
      <c r="BI128" t="s">
        <v>212</v>
      </c>
      <c r="BJ128" t="s">
        <v>213</v>
      </c>
      <c r="BK128" t="s">
        <v>214</v>
      </c>
      <c r="BL128" t="s">
        <v>357</v>
      </c>
      <c r="BN128" t="s">
        <v>281</v>
      </c>
      <c r="BO128" t="s">
        <v>209</v>
      </c>
      <c r="BP128" t="s">
        <v>241</v>
      </c>
      <c r="BQ128">
        <v>5</v>
      </c>
      <c r="BS128" t="s">
        <v>220</v>
      </c>
      <c r="BU128" t="s">
        <v>212</v>
      </c>
      <c r="BZ128" t="s">
        <v>623</v>
      </c>
      <c r="CA128" t="s">
        <v>287</v>
      </c>
      <c r="CC128" t="s">
        <v>222</v>
      </c>
      <c r="CD128" t="s">
        <v>223</v>
      </c>
      <c r="CE128" t="s">
        <v>242</v>
      </c>
      <c r="CJ128" t="s">
        <v>206</v>
      </c>
      <c r="CK128" t="s">
        <v>230</v>
      </c>
      <c r="CL128" t="s">
        <v>231</v>
      </c>
      <c r="CM128" t="s">
        <v>232</v>
      </c>
      <c r="CN128" t="s">
        <v>233</v>
      </c>
      <c r="CP128" t="s">
        <v>212</v>
      </c>
      <c r="CQ128" t="s">
        <v>212</v>
      </c>
      <c r="CR128" t="s">
        <v>212</v>
      </c>
      <c r="CS128" t="s">
        <v>212</v>
      </c>
      <c r="CY128" t="s">
        <v>212</v>
      </c>
      <c r="DB128" t="s">
        <v>234</v>
      </c>
      <c r="DE128" t="s">
        <v>212</v>
      </c>
      <c r="DF128" t="s">
        <v>212</v>
      </c>
      <c r="DG128" t="s">
        <v>235</v>
      </c>
      <c r="DH128" t="s">
        <v>212</v>
      </c>
      <c r="DJ128" t="s">
        <v>236</v>
      </c>
      <c r="DM128" t="s">
        <v>212</v>
      </c>
      <c r="GB128" t="s">
        <v>206</v>
      </c>
    </row>
    <row r="129" spans="1:184" x14ac:dyDescent="0.3">
      <c r="A129">
        <v>22155624</v>
      </c>
      <c r="B129">
        <v>919096</v>
      </c>
      <c r="C129" t="str">
        <f>"151026500681"</f>
        <v>151026500681</v>
      </c>
      <c r="D129" t="s">
        <v>678</v>
      </c>
      <c r="E129" t="s">
        <v>679</v>
      </c>
      <c r="F129" t="s">
        <v>558</v>
      </c>
      <c r="G129" s="1">
        <v>42303</v>
      </c>
      <c r="I129" t="s">
        <v>240</v>
      </c>
      <c r="J129" t="s">
        <v>200</v>
      </c>
      <c r="K129" t="s">
        <v>260</v>
      </c>
      <c r="R129" t="str">
        <f>"КАЗАХСТАН, АКМОЛИНСКАЯ, СТЕПНОГОРСК, 40, 39"</f>
        <v>КАЗАХСТАН, АКМОЛИНСКАЯ, СТЕПНОГОРСК, 40, 39</v>
      </c>
      <c r="S129" t="str">
        <f>"ҚАЗАҚСТАН, АҚМОЛА, СТЕПНОГОР, 40, 39"</f>
        <v>ҚАЗАҚСТАН, АҚМОЛА, СТЕПНОГОР, 40, 39</v>
      </c>
      <c r="T129" t="str">
        <f>"40, 39"</f>
        <v>40, 39</v>
      </c>
      <c r="U129" t="str">
        <f>"40, 39"</f>
        <v>40, 39</v>
      </c>
      <c r="AC129" t="str">
        <f>"2022-07-14T00:00:00"</f>
        <v>2022-07-14T00:00:00</v>
      </c>
      <c r="AD129" t="str">
        <f>"78"</f>
        <v>78</v>
      </c>
      <c r="AG129" t="s">
        <v>202</v>
      </c>
      <c r="AI129" t="s">
        <v>203</v>
      </c>
      <c r="AJ129" t="s">
        <v>570</v>
      </c>
      <c r="AK129" t="s">
        <v>261</v>
      </c>
      <c r="AL129" t="s">
        <v>206</v>
      </c>
      <c r="AN129" t="s">
        <v>207</v>
      </c>
      <c r="AO129">
        <v>2</v>
      </c>
      <c r="AP129" t="s">
        <v>208</v>
      </c>
      <c r="AQ129" t="s">
        <v>209</v>
      </c>
      <c r="AR129" t="s">
        <v>502</v>
      </c>
      <c r="AW129" t="s">
        <v>212</v>
      </c>
      <c r="AZ129" t="s">
        <v>209</v>
      </c>
      <c r="BI129" t="s">
        <v>212</v>
      </c>
      <c r="BJ129" t="s">
        <v>213</v>
      </c>
      <c r="BK129" t="s">
        <v>214</v>
      </c>
      <c r="BL129" t="s">
        <v>357</v>
      </c>
      <c r="BN129" t="s">
        <v>281</v>
      </c>
      <c r="BO129" t="s">
        <v>209</v>
      </c>
      <c r="BP129" t="s">
        <v>241</v>
      </c>
      <c r="BQ129">
        <v>5</v>
      </c>
      <c r="BS129" t="s">
        <v>220</v>
      </c>
      <c r="BU129" t="s">
        <v>212</v>
      </c>
      <c r="BZ129" t="s">
        <v>571</v>
      </c>
      <c r="CA129" t="s">
        <v>287</v>
      </c>
      <c r="CC129" t="s">
        <v>209</v>
      </c>
      <c r="CE129" t="s">
        <v>242</v>
      </c>
      <c r="CJ129" t="s">
        <v>206</v>
      </c>
      <c r="CK129" t="s">
        <v>230</v>
      </c>
      <c r="CL129" t="s">
        <v>231</v>
      </c>
      <c r="CM129" t="s">
        <v>232</v>
      </c>
      <c r="CN129" t="s">
        <v>233</v>
      </c>
      <c r="CP129" t="s">
        <v>212</v>
      </c>
      <c r="CQ129" t="s">
        <v>212</v>
      </c>
      <c r="CR129" t="s">
        <v>212</v>
      </c>
      <c r="CS129" t="s">
        <v>212</v>
      </c>
      <c r="CY129" t="s">
        <v>212</v>
      </c>
      <c r="DB129" t="s">
        <v>234</v>
      </c>
      <c r="DE129" t="s">
        <v>212</v>
      </c>
      <c r="DF129" t="s">
        <v>212</v>
      </c>
      <c r="DG129" t="s">
        <v>235</v>
      </c>
      <c r="DH129" t="s">
        <v>212</v>
      </c>
      <c r="DJ129" t="s">
        <v>236</v>
      </c>
      <c r="DM129" t="s">
        <v>212</v>
      </c>
      <c r="GB129" t="s">
        <v>206</v>
      </c>
    </row>
    <row r="130" spans="1:184" x14ac:dyDescent="0.3">
      <c r="A130">
        <v>22110307</v>
      </c>
      <c r="B130">
        <v>175799</v>
      </c>
      <c r="C130" t="str">
        <f>"130719502523"</f>
        <v>130719502523</v>
      </c>
      <c r="D130" t="s">
        <v>680</v>
      </c>
      <c r="E130" t="s">
        <v>681</v>
      </c>
      <c r="F130" t="s">
        <v>682</v>
      </c>
      <c r="G130" s="1">
        <v>41474</v>
      </c>
      <c r="I130" t="s">
        <v>240</v>
      </c>
      <c r="J130" t="s">
        <v>200</v>
      </c>
      <c r="K130" t="s">
        <v>260</v>
      </c>
      <c r="Q130" t="s">
        <v>212</v>
      </c>
      <c r="R130" t="str">
        <f>"КАЗАХСТАН, С-КАЗАХСТАНСКАЯ, ПЕТРОПАВЛОВСК, 11Б"</f>
        <v>КАЗАХСТАН, С-КАЗАХСТАНСКАЯ, ПЕТРОПАВЛОВСК, 11Б</v>
      </c>
      <c r="S130" t="str">
        <f>"ҚАЗАҚСТАН, СОЛ-ҚАЗАҚСТАН, ПЕТРОПАВЛ, 11Б"</f>
        <v>ҚАЗАҚСТАН, СОЛ-ҚАЗАҚСТАН, ПЕТРОПАВЛ, 11Б</v>
      </c>
      <c r="T130" t="str">
        <f>"11Б"</f>
        <v>11Б</v>
      </c>
      <c r="U130" t="str">
        <f>"11Б"</f>
        <v>11Б</v>
      </c>
      <c r="AC130" t="str">
        <f>"2022-04-01T00:00:00"</f>
        <v>2022-04-01T00:00:00</v>
      </c>
      <c r="AD130" t="str">
        <f>"22"</f>
        <v>22</v>
      </c>
      <c r="AG130" t="s">
        <v>202</v>
      </c>
      <c r="AI130" t="s">
        <v>269</v>
      </c>
      <c r="AJ130" t="s">
        <v>501</v>
      </c>
      <c r="AK130" t="s">
        <v>261</v>
      </c>
      <c r="AL130" t="s">
        <v>206</v>
      </c>
      <c r="AN130" t="s">
        <v>207</v>
      </c>
      <c r="AO130">
        <v>1</v>
      </c>
      <c r="AP130" t="s">
        <v>208</v>
      </c>
      <c r="AQ130" t="s">
        <v>209</v>
      </c>
      <c r="AR130" t="s">
        <v>502</v>
      </c>
      <c r="AW130" t="s">
        <v>212</v>
      </c>
      <c r="AZ130" t="s">
        <v>209</v>
      </c>
      <c r="BI130" t="s">
        <v>212</v>
      </c>
      <c r="BJ130" t="s">
        <v>213</v>
      </c>
      <c r="BK130" t="s">
        <v>214</v>
      </c>
      <c r="BL130" t="s">
        <v>357</v>
      </c>
      <c r="BN130" t="s">
        <v>247</v>
      </c>
      <c r="BO130" t="s">
        <v>209</v>
      </c>
      <c r="BP130" t="s">
        <v>241</v>
      </c>
      <c r="BQ130">
        <v>3</v>
      </c>
      <c r="BS130" t="s">
        <v>219</v>
      </c>
      <c r="BT130" t="s">
        <v>220</v>
      </c>
      <c r="BU130" t="s">
        <v>206</v>
      </c>
      <c r="BZ130" t="s">
        <v>503</v>
      </c>
      <c r="CA130" t="s">
        <v>287</v>
      </c>
      <c r="CC130" t="s">
        <v>222</v>
      </c>
      <c r="CD130" t="s">
        <v>223</v>
      </c>
      <c r="CE130" t="s">
        <v>242</v>
      </c>
      <c r="CJ130" t="s">
        <v>206</v>
      </c>
      <c r="CK130" t="s">
        <v>230</v>
      </c>
      <c r="CL130" t="s">
        <v>231</v>
      </c>
      <c r="CM130" t="s">
        <v>232</v>
      </c>
      <c r="CN130" t="s">
        <v>233</v>
      </c>
      <c r="CP130" t="s">
        <v>212</v>
      </c>
      <c r="CQ130" t="s">
        <v>212</v>
      </c>
      <c r="CR130" t="s">
        <v>212</v>
      </c>
      <c r="CS130" t="s">
        <v>212</v>
      </c>
      <c r="CY130" t="s">
        <v>212</v>
      </c>
      <c r="DB130" t="s">
        <v>683</v>
      </c>
      <c r="DC130" t="str">
        <f>"№346 Задержка психического развития."</f>
        <v>№346 Задержка психического развития.</v>
      </c>
      <c r="DD130" t="str">
        <f>"2023-04-25T00:00:00"</f>
        <v>2023-04-25T00:00:00</v>
      </c>
      <c r="DE130" t="s">
        <v>212</v>
      </c>
      <c r="DF130" t="s">
        <v>212</v>
      </c>
      <c r="DG130" t="s">
        <v>235</v>
      </c>
      <c r="DH130" t="s">
        <v>212</v>
      </c>
      <c r="DJ130" t="s">
        <v>236</v>
      </c>
      <c r="DM130" t="s">
        <v>212</v>
      </c>
    </row>
    <row r="131" spans="1:184" x14ac:dyDescent="0.3">
      <c r="A131">
        <v>21538510</v>
      </c>
      <c r="B131">
        <v>4963937</v>
      </c>
      <c r="C131" t="str">
        <f>"150415505486"</f>
        <v>150415505486</v>
      </c>
      <c r="D131" t="s">
        <v>684</v>
      </c>
      <c r="E131" t="s">
        <v>685</v>
      </c>
      <c r="F131" t="s">
        <v>316</v>
      </c>
      <c r="G131" s="1">
        <v>42109</v>
      </c>
      <c r="I131" t="s">
        <v>240</v>
      </c>
      <c r="J131" t="s">
        <v>200</v>
      </c>
      <c r="K131" t="s">
        <v>201</v>
      </c>
      <c r="R131" t="str">
        <f>"КАЗАХСТАН, АКМОЛИНСКАЯ, БУРАБАЙСКИЙ РАЙОН, Щучинск, 25"</f>
        <v>КАЗАХСТАН, АКМОЛИНСКАЯ, БУРАБАЙСКИЙ РАЙОН, Щучинск, 25</v>
      </c>
      <c r="S131" t="str">
        <f>"ҚАЗАҚСТАН, АҚМОЛА, БУРАБАЙ, Щучинск, 25"</f>
        <v>ҚАЗАҚСТАН, АҚМОЛА, БУРАБАЙ, Щучинск, 25</v>
      </c>
      <c r="T131" t="str">
        <f>"Щучинск, 25"</f>
        <v>Щучинск, 25</v>
      </c>
      <c r="U131" t="str">
        <f>"Щучинск, 25"</f>
        <v>Щучинск, 25</v>
      </c>
      <c r="AC131" t="str">
        <f>"2021-11-16T00:00:00"</f>
        <v>2021-11-16T00:00:00</v>
      </c>
      <c r="AD131" t="str">
        <f>"185"</f>
        <v>185</v>
      </c>
      <c r="AE131" t="str">
        <f>"2023-09-01T23:16:10"</f>
        <v>2023-09-01T23:16:10</v>
      </c>
      <c r="AF131" t="str">
        <f>"2024-05-25T23:16:10"</f>
        <v>2024-05-25T23:16:10</v>
      </c>
      <c r="AG131" t="s">
        <v>646</v>
      </c>
      <c r="AI131" t="s">
        <v>203</v>
      </c>
      <c r="AJ131" t="s">
        <v>540</v>
      </c>
      <c r="AK131" t="s">
        <v>253</v>
      </c>
      <c r="AL131" t="s">
        <v>206</v>
      </c>
      <c r="AN131" t="s">
        <v>254</v>
      </c>
      <c r="AO131">
        <v>2</v>
      </c>
      <c r="AP131" t="s">
        <v>208</v>
      </c>
      <c r="AQ131" t="s">
        <v>209</v>
      </c>
      <c r="AR131" t="s">
        <v>502</v>
      </c>
      <c r="AW131" t="s">
        <v>212</v>
      </c>
      <c r="AZ131" t="s">
        <v>209</v>
      </c>
      <c r="BI131" t="s">
        <v>212</v>
      </c>
      <c r="BJ131" t="s">
        <v>213</v>
      </c>
      <c r="BK131" t="s">
        <v>214</v>
      </c>
      <c r="BL131" t="s">
        <v>420</v>
      </c>
      <c r="BN131" t="s">
        <v>216</v>
      </c>
      <c r="BO131" t="s">
        <v>209</v>
      </c>
      <c r="BP131" t="s">
        <v>241</v>
      </c>
      <c r="BQ131">
        <v>5</v>
      </c>
      <c r="BS131" t="s">
        <v>219</v>
      </c>
      <c r="BT131" t="s">
        <v>220</v>
      </c>
      <c r="BU131" t="s">
        <v>206</v>
      </c>
      <c r="BZ131" t="s">
        <v>541</v>
      </c>
      <c r="CA131" t="s">
        <v>222</v>
      </c>
      <c r="CB131" t="s">
        <v>223</v>
      </c>
      <c r="CC131" t="s">
        <v>222</v>
      </c>
      <c r="CD131" t="s">
        <v>223</v>
      </c>
      <c r="CE131" t="s">
        <v>242</v>
      </c>
      <c r="CJ131" t="s">
        <v>206</v>
      </c>
      <c r="CK131" t="s">
        <v>230</v>
      </c>
      <c r="CL131" t="s">
        <v>231</v>
      </c>
      <c r="CM131" t="s">
        <v>232</v>
      </c>
      <c r="CN131" t="s">
        <v>233</v>
      </c>
      <c r="CP131" t="s">
        <v>212</v>
      </c>
      <c r="CQ131" t="s">
        <v>212</v>
      </c>
      <c r="CR131" t="s">
        <v>212</v>
      </c>
      <c r="CS131" t="s">
        <v>212</v>
      </c>
      <c r="CY131" t="s">
        <v>212</v>
      </c>
      <c r="DB131" t="s">
        <v>234</v>
      </c>
      <c r="DE131" t="s">
        <v>212</v>
      </c>
      <c r="DF131" t="s">
        <v>212</v>
      </c>
      <c r="DG131" t="s">
        <v>235</v>
      </c>
      <c r="DH131" t="s">
        <v>212</v>
      </c>
      <c r="DJ131" t="s">
        <v>236</v>
      </c>
      <c r="DM131" t="s">
        <v>206</v>
      </c>
    </row>
    <row r="132" spans="1:184" x14ac:dyDescent="0.3">
      <c r="A132">
        <v>21468000</v>
      </c>
      <c r="B132">
        <v>921174</v>
      </c>
      <c r="C132" t="str">
        <f>"140102502676"</f>
        <v>140102502676</v>
      </c>
      <c r="D132" t="s">
        <v>686</v>
      </c>
      <c r="E132" t="s">
        <v>687</v>
      </c>
      <c r="F132" t="s">
        <v>688</v>
      </c>
      <c r="G132" s="1">
        <v>41641</v>
      </c>
      <c r="I132" t="s">
        <v>240</v>
      </c>
      <c r="J132" t="s">
        <v>200</v>
      </c>
      <c r="K132" t="s">
        <v>201</v>
      </c>
      <c r="Q132" t="s">
        <v>212</v>
      </c>
      <c r="R132" t="str">
        <f>"КАЗАХСТАН, АКМОЛИНСКАЯ, СТЕПНОГОРСК, 9, 19"</f>
        <v>КАЗАХСТАН, АКМОЛИНСКАЯ, СТЕПНОГОРСК, 9, 19</v>
      </c>
      <c r="S132" t="str">
        <f>"ҚАЗАҚСТАН, АҚМОЛА, СТЕПНОГОР, 9, 19"</f>
        <v>ҚАЗАҚСТАН, АҚМОЛА, СТЕПНОГОР, 9, 19</v>
      </c>
      <c r="T132" t="str">
        <f>"9, 19"</f>
        <v>9, 19</v>
      </c>
      <c r="U132" t="str">
        <f>"9, 19"</f>
        <v>9, 19</v>
      </c>
      <c r="AC132" t="str">
        <f>"2021-11-05T00:00:00"</f>
        <v>2021-11-05T00:00:00</v>
      </c>
      <c r="AD132" t="str">
        <f>"177"</f>
        <v>177</v>
      </c>
      <c r="AG132" t="s">
        <v>202</v>
      </c>
      <c r="AI132" t="s">
        <v>203</v>
      </c>
      <c r="AJ132" t="s">
        <v>501</v>
      </c>
      <c r="AK132" t="s">
        <v>261</v>
      </c>
      <c r="AL132" t="s">
        <v>206</v>
      </c>
      <c r="AN132" t="s">
        <v>207</v>
      </c>
      <c r="AO132">
        <v>1</v>
      </c>
      <c r="AP132" t="s">
        <v>208</v>
      </c>
      <c r="AQ132" t="s">
        <v>209</v>
      </c>
      <c r="AR132" t="s">
        <v>502</v>
      </c>
      <c r="AW132" t="s">
        <v>212</v>
      </c>
      <c r="AZ132" t="s">
        <v>209</v>
      </c>
      <c r="BI132" t="s">
        <v>212</v>
      </c>
      <c r="BJ132" t="s">
        <v>213</v>
      </c>
      <c r="BK132" t="s">
        <v>214</v>
      </c>
      <c r="BL132" t="s">
        <v>357</v>
      </c>
      <c r="BN132" t="s">
        <v>247</v>
      </c>
      <c r="BO132" t="s">
        <v>209</v>
      </c>
      <c r="BP132" t="s">
        <v>241</v>
      </c>
      <c r="BQ132">
        <v>3</v>
      </c>
      <c r="BS132" t="s">
        <v>219</v>
      </c>
      <c r="BT132" t="s">
        <v>220</v>
      </c>
      <c r="BU132" t="s">
        <v>206</v>
      </c>
      <c r="BZ132" t="s">
        <v>503</v>
      </c>
      <c r="CA132" t="s">
        <v>287</v>
      </c>
      <c r="CC132" t="s">
        <v>222</v>
      </c>
      <c r="CD132" t="s">
        <v>223</v>
      </c>
      <c r="CE132" t="s">
        <v>242</v>
      </c>
      <c r="CJ132" t="s">
        <v>206</v>
      </c>
      <c r="CK132" t="s">
        <v>230</v>
      </c>
      <c r="CL132" t="s">
        <v>231</v>
      </c>
      <c r="CM132" t="s">
        <v>232</v>
      </c>
      <c r="CN132" t="s">
        <v>233</v>
      </c>
      <c r="CP132" t="s">
        <v>212</v>
      </c>
      <c r="CQ132" t="s">
        <v>212</v>
      </c>
      <c r="CR132" t="s">
        <v>212</v>
      </c>
      <c r="CS132" t="s">
        <v>212</v>
      </c>
      <c r="CY132" t="s">
        <v>212</v>
      </c>
      <c r="DB132" t="s">
        <v>683</v>
      </c>
      <c r="DC132" t="str">
        <f>"№344Задержка психического развития."</f>
        <v>№344Задержка психического развития.</v>
      </c>
      <c r="DD132" t="str">
        <f>"2023-04-25T00:00:00"</f>
        <v>2023-04-25T00:00:00</v>
      </c>
      <c r="DE132" t="s">
        <v>212</v>
      </c>
      <c r="DF132" t="s">
        <v>212</v>
      </c>
      <c r="DG132" t="s">
        <v>235</v>
      </c>
      <c r="DH132" t="s">
        <v>212</v>
      </c>
      <c r="DJ132" t="s">
        <v>236</v>
      </c>
      <c r="DM132" t="s">
        <v>212</v>
      </c>
    </row>
    <row r="133" spans="1:184" x14ac:dyDescent="0.3">
      <c r="A133">
        <v>21278553</v>
      </c>
      <c r="B133">
        <v>868680</v>
      </c>
      <c r="C133" t="str">
        <f>"150204601006"</f>
        <v>150204601006</v>
      </c>
      <c r="D133" t="s">
        <v>689</v>
      </c>
      <c r="E133" t="s">
        <v>690</v>
      </c>
      <c r="F133" t="s">
        <v>691</v>
      </c>
      <c r="G133" s="1">
        <v>42039</v>
      </c>
      <c r="I133" t="s">
        <v>199</v>
      </c>
      <c r="J133" t="s">
        <v>200</v>
      </c>
      <c r="K133" t="s">
        <v>201</v>
      </c>
      <c r="R133" t="str">
        <f>"КАЗАХСТАН, АКМОЛИНСКАЯ, АТБАСАРСКИЙ РАЙОН, Атбасар, 1А, 5"</f>
        <v>КАЗАХСТАН, АКМОЛИНСКАЯ, АТБАСАРСКИЙ РАЙОН, Атбасар, 1А, 5</v>
      </c>
      <c r="S133" t="str">
        <f>"ҚАЗАҚСТАН, АҚМОЛА, АТБАСАР АУДАНЫ, Атбасар, 1А, 5"</f>
        <v>ҚАЗАҚСТАН, АҚМОЛА, АТБАСАР АУДАНЫ, Атбасар, 1А, 5</v>
      </c>
      <c r="T133" t="str">
        <f>"Атбасар, 1А, 5"</f>
        <v>Атбасар, 1А, 5</v>
      </c>
      <c r="U133" t="str">
        <f>"Атбасар, 1А, 5"</f>
        <v>Атбасар, 1А, 5</v>
      </c>
      <c r="AC133" t="str">
        <f>"2021-09-17T00:00:00"</f>
        <v>2021-09-17T00:00:00</v>
      </c>
      <c r="AD133" t="str">
        <f>"159"</f>
        <v>159</v>
      </c>
      <c r="AG133" t="s">
        <v>333</v>
      </c>
      <c r="AI133" t="s">
        <v>274</v>
      </c>
      <c r="AJ133" t="s">
        <v>540</v>
      </c>
      <c r="AK133" t="s">
        <v>205</v>
      </c>
      <c r="AL133" t="s">
        <v>206</v>
      </c>
      <c r="AN133" t="s">
        <v>207</v>
      </c>
      <c r="AO133">
        <v>2</v>
      </c>
      <c r="AP133" t="s">
        <v>208</v>
      </c>
      <c r="AQ133" t="s">
        <v>209</v>
      </c>
      <c r="AR133" t="s">
        <v>502</v>
      </c>
      <c r="AW133" t="s">
        <v>212</v>
      </c>
      <c r="AZ133" t="s">
        <v>209</v>
      </c>
      <c r="BI133" t="s">
        <v>212</v>
      </c>
      <c r="BJ133" t="s">
        <v>213</v>
      </c>
      <c r="BK133" t="s">
        <v>214</v>
      </c>
      <c r="BL133" t="s">
        <v>357</v>
      </c>
      <c r="BN133" t="s">
        <v>216</v>
      </c>
      <c r="BO133" t="s">
        <v>209</v>
      </c>
      <c r="BP133" t="s">
        <v>241</v>
      </c>
      <c r="BQ133">
        <v>4</v>
      </c>
      <c r="BS133" t="s">
        <v>219</v>
      </c>
      <c r="BT133" t="s">
        <v>220</v>
      </c>
      <c r="BU133" t="s">
        <v>206</v>
      </c>
      <c r="BZ133" t="s">
        <v>541</v>
      </c>
      <c r="CA133" t="s">
        <v>287</v>
      </c>
      <c r="CC133" t="s">
        <v>222</v>
      </c>
      <c r="CD133" t="s">
        <v>223</v>
      </c>
      <c r="CE133" t="s">
        <v>242</v>
      </c>
      <c r="CJ133" t="s">
        <v>206</v>
      </c>
      <c r="CK133" t="s">
        <v>230</v>
      </c>
      <c r="CL133" t="s">
        <v>231</v>
      </c>
      <c r="CM133" t="s">
        <v>232</v>
      </c>
      <c r="CN133" t="s">
        <v>233</v>
      </c>
      <c r="CP133" t="s">
        <v>212</v>
      </c>
      <c r="CQ133" t="s">
        <v>212</v>
      </c>
      <c r="CR133" t="s">
        <v>212</v>
      </c>
      <c r="CS133" t="s">
        <v>212</v>
      </c>
      <c r="CY133" t="s">
        <v>212</v>
      </c>
      <c r="DB133" t="s">
        <v>234</v>
      </c>
      <c r="DE133" t="s">
        <v>212</v>
      </c>
      <c r="DF133" t="s">
        <v>212</v>
      </c>
      <c r="DG133" t="s">
        <v>235</v>
      </c>
      <c r="DH133" t="s">
        <v>212</v>
      </c>
      <c r="DJ133" t="s">
        <v>236</v>
      </c>
      <c r="DM133" t="s">
        <v>212</v>
      </c>
    </row>
    <row r="134" spans="1:184" x14ac:dyDescent="0.3">
      <c r="A134">
        <v>21235610</v>
      </c>
      <c r="B134">
        <v>8749191</v>
      </c>
      <c r="C134" t="str">
        <f>"150721503027"</f>
        <v>150721503027</v>
      </c>
      <c r="D134" t="s">
        <v>692</v>
      </c>
      <c r="E134" t="s">
        <v>693</v>
      </c>
      <c r="F134" t="s">
        <v>411</v>
      </c>
      <c r="G134" s="1">
        <v>42206</v>
      </c>
      <c r="I134" t="s">
        <v>240</v>
      </c>
      <c r="J134" t="s">
        <v>200</v>
      </c>
      <c r="K134" t="s">
        <v>260</v>
      </c>
      <c r="R134" t="str">
        <f>"КАЗАХСТАН, АКМОЛИНСКАЯ, СТЕПНОГОРСК, Бестобе, 17"</f>
        <v>КАЗАХСТАН, АКМОЛИНСКАЯ, СТЕПНОГОРСК, Бестобе, 17</v>
      </c>
      <c r="S134" t="str">
        <f>"ҚАЗАҚСТАН, АҚМОЛА, СТЕПНОГОР, Бестобе, 17"</f>
        <v>ҚАЗАҚСТАН, АҚМОЛА, СТЕПНОГОР, Бестобе, 17</v>
      </c>
      <c r="T134" t="str">
        <f>"Бестобе, 17"</f>
        <v>Бестобе, 17</v>
      </c>
      <c r="U134" t="str">
        <f>"Бестобе, 17"</f>
        <v>Бестобе, 17</v>
      </c>
      <c r="AC134" t="str">
        <f t="shared" ref="AC134:AC140" si="4">"2021-08-25T00:00:00"</f>
        <v>2021-08-25T00:00:00</v>
      </c>
      <c r="AD134" t="str">
        <f t="shared" ref="AD134:AD140" si="5">"1"</f>
        <v>1</v>
      </c>
      <c r="AE134" t="str">
        <f>"2023-09-01T17:52:03"</f>
        <v>2023-09-01T17:52:03</v>
      </c>
      <c r="AF134" t="str">
        <f>"2024-05-25T17:52:03"</f>
        <v>2024-05-25T17:52:03</v>
      </c>
      <c r="AG134" t="s">
        <v>202</v>
      </c>
      <c r="AI134" t="s">
        <v>299</v>
      </c>
      <c r="AJ134" t="s">
        <v>570</v>
      </c>
      <c r="AK134" t="s">
        <v>205</v>
      </c>
      <c r="AL134" t="s">
        <v>206</v>
      </c>
      <c r="AN134" t="s">
        <v>207</v>
      </c>
      <c r="AO134">
        <v>2</v>
      </c>
      <c r="AP134" t="s">
        <v>208</v>
      </c>
      <c r="AQ134" t="s">
        <v>209</v>
      </c>
      <c r="AR134" t="s">
        <v>502</v>
      </c>
      <c r="AW134" t="s">
        <v>212</v>
      </c>
      <c r="AZ134" t="s">
        <v>209</v>
      </c>
      <c r="BI134" t="s">
        <v>212</v>
      </c>
      <c r="BJ134" t="s">
        <v>213</v>
      </c>
      <c r="BK134" t="s">
        <v>214</v>
      </c>
      <c r="BL134" t="s">
        <v>357</v>
      </c>
      <c r="BN134" t="s">
        <v>247</v>
      </c>
      <c r="BO134" t="s">
        <v>209</v>
      </c>
      <c r="BP134" t="s">
        <v>241</v>
      </c>
      <c r="BQ134">
        <v>3</v>
      </c>
      <c r="BS134" t="s">
        <v>220</v>
      </c>
      <c r="BU134" t="s">
        <v>212</v>
      </c>
      <c r="BZ134" t="s">
        <v>623</v>
      </c>
      <c r="CA134" t="s">
        <v>287</v>
      </c>
      <c r="CC134" t="s">
        <v>222</v>
      </c>
      <c r="CD134" t="s">
        <v>349</v>
      </c>
      <c r="CE134" t="s">
        <v>242</v>
      </c>
      <c r="CJ134" t="s">
        <v>206</v>
      </c>
      <c r="CK134" t="s">
        <v>230</v>
      </c>
      <c r="CL134" t="s">
        <v>231</v>
      </c>
      <c r="CM134" t="s">
        <v>232</v>
      </c>
      <c r="CN134" t="s">
        <v>233</v>
      </c>
      <c r="CP134" t="s">
        <v>212</v>
      </c>
      <c r="CQ134" t="s">
        <v>212</v>
      </c>
      <c r="CR134" t="s">
        <v>212</v>
      </c>
      <c r="CS134" t="s">
        <v>212</v>
      </c>
      <c r="CY134" t="s">
        <v>212</v>
      </c>
      <c r="DB134" t="s">
        <v>234</v>
      </c>
      <c r="DE134" t="s">
        <v>212</v>
      </c>
      <c r="DF134" t="s">
        <v>212</v>
      </c>
      <c r="DG134" t="s">
        <v>235</v>
      </c>
      <c r="DH134" t="s">
        <v>212</v>
      </c>
      <c r="DJ134" t="s">
        <v>236</v>
      </c>
      <c r="DM134" t="s">
        <v>212</v>
      </c>
    </row>
    <row r="135" spans="1:184" x14ac:dyDescent="0.3">
      <c r="A135">
        <v>21235195</v>
      </c>
      <c r="B135">
        <v>918353</v>
      </c>
      <c r="C135" t="str">
        <f>"150825500226"</f>
        <v>150825500226</v>
      </c>
      <c r="D135" t="s">
        <v>694</v>
      </c>
      <c r="E135" t="s">
        <v>658</v>
      </c>
      <c r="F135" t="s">
        <v>259</v>
      </c>
      <c r="G135" s="1">
        <v>42241</v>
      </c>
      <c r="I135" t="s">
        <v>240</v>
      </c>
      <c r="J135" t="s">
        <v>200</v>
      </c>
      <c r="K135" t="s">
        <v>260</v>
      </c>
      <c r="R135" t="str">
        <f>"КАЗАХСТАН, АКМОЛИНСКАЯ, СТЕПНОГОРСК, 79, 7"</f>
        <v>КАЗАХСТАН, АКМОЛИНСКАЯ, СТЕПНОГОРСК, 79, 7</v>
      </c>
      <c r="S135" t="str">
        <f>"ҚАЗАҚСТАН, АҚМОЛА, СТЕПНОГОР, 79, 7"</f>
        <v>ҚАЗАҚСТАН, АҚМОЛА, СТЕПНОГОР, 79, 7</v>
      </c>
      <c r="T135" t="str">
        <f>"79, 7"</f>
        <v>79, 7</v>
      </c>
      <c r="U135" t="str">
        <f>"79, 7"</f>
        <v>79, 7</v>
      </c>
      <c r="AC135" t="str">
        <f t="shared" si="4"/>
        <v>2021-08-25T00:00:00</v>
      </c>
      <c r="AD135" t="str">
        <f t="shared" si="5"/>
        <v>1</v>
      </c>
      <c r="AG135" t="s">
        <v>202</v>
      </c>
      <c r="AI135" t="s">
        <v>299</v>
      </c>
      <c r="AJ135" t="s">
        <v>570</v>
      </c>
      <c r="AK135" t="s">
        <v>205</v>
      </c>
      <c r="AL135" t="s">
        <v>206</v>
      </c>
      <c r="AN135" t="s">
        <v>207</v>
      </c>
      <c r="AO135">
        <v>2</v>
      </c>
      <c r="AP135" t="s">
        <v>208</v>
      </c>
      <c r="AQ135" t="s">
        <v>209</v>
      </c>
      <c r="AR135" t="s">
        <v>502</v>
      </c>
      <c r="AW135" t="s">
        <v>212</v>
      </c>
      <c r="AZ135" t="s">
        <v>209</v>
      </c>
      <c r="BI135" t="s">
        <v>212</v>
      </c>
      <c r="BJ135" t="s">
        <v>213</v>
      </c>
      <c r="BK135" t="s">
        <v>214</v>
      </c>
      <c r="BL135" t="s">
        <v>357</v>
      </c>
      <c r="BN135" t="s">
        <v>281</v>
      </c>
      <c r="BO135" t="s">
        <v>209</v>
      </c>
      <c r="BP135" t="s">
        <v>241</v>
      </c>
      <c r="BQ135">
        <v>5</v>
      </c>
      <c r="BS135" t="s">
        <v>220</v>
      </c>
      <c r="BU135" t="s">
        <v>212</v>
      </c>
      <c r="BX135" t="s">
        <v>221</v>
      </c>
      <c r="BY135" t="s">
        <v>221</v>
      </c>
      <c r="BZ135" t="s">
        <v>623</v>
      </c>
      <c r="CA135" t="s">
        <v>287</v>
      </c>
      <c r="CC135" t="s">
        <v>353</v>
      </c>
      <c r="CD135" t="s">
        <v>223</v>
      </c>
      <c r="CE135" t="s">
        <v>242</v>
      </c>
      <c r="CJ135" t="s">
        <v>206</v>
      </c>
      <c r="CK135" t="s">
        <v>230</v>
      </c>
      <c r="CL135" t="s">
        <v>231</v>
      </c>
      <c r="CM135" t="s">
        <v>232</v>
      </c>
      <c r="CN135" t="s">
        <v>233</v>
      </c>
      <c r="CP135" t="s">
        <v>212</v>
      </c>
      <c r="CQ135" t="s">
        <v>212</v>
      </c>
      <c r="CR135" t="s">
        <v>212</v>
      </c>
      <c r="CS135" t="s">
        <v>212</v>
      </c>
      <c r="CY135" t="s">
        <v>212</v>
      </c>
      <c r="DB135" t="s">
        <v>234</v>
      </c>
      <c r="DE135" t="s">
        <v>212</v>
      </c>
      <c r="DF135" t="s">
        <v>212</v>
      </c>
      <c r="DG135" t="s">
        <v>235</v>
      </c>
      <c r="DH135" t="s">
        <v>212</v>
      </c>
      <c r="DJ135" t="s">
        <v>236</v>
      </c>
      <c r="DM135" t="s">
        <v>212</v>
      </c>
    </row>
    <row r="136" spans="1:184" x14ac:dyDescent="0.3">
      <c r="A136">
        <v>21234984</v>
      </c>
      <c r="B136">
        <v>7387179</v>
      </c>
      <c r="C136" t="str">
        <f>"151129601963"</f>
        <v>151129601963</v>
      </c>
      <c r="D136" t="s">
        <v>695</v>
      </c>
      <c r="E136" t="s">
        <v>696</v>
      </c>
      <c r="F136" t="s">
        <v>697</v>
      </c>
      <c r="G136" s="1">
        <v>42337</v>
      </c>
      <c r="I136" t="s">
        <v>199</v>
      </c>
      <c r="J136" t="s">
        <v>200</v>
      </c>
      <c r="K136" t="s">
        <v>201</v>
      </c>
      <c r="R136" t="str">
        <f>"КАЗАХСТАН, АКМОЛИНСКАЯ, СТЕПНОГОРСК, 22, 32"</f>
        <v>КАЗАХСТАН, АКМОЛИНСКАЯ, СТЕПНОГОРСК, 22, 32</v>
      </c>
      <c r="S136" t="str">
        <f>"ҚАЗАҚСТАН, АҚМОЛА, СТЕПНОГОР, 22, 32"</f>
        <v>ҚАЗАҚСТАН, АҚМОЛА, СТЕПНОГОР, 22, 32</v>
      </c>
      <c r="T136" t="str">
        <f>"22, 32"</f>
        <v>22, 32</v>
      </c>
      <c r="U136" t="str">
        <f>"22, 32"</f>
        <v>22, 32</v>
      </c>
      <c r="AC136" t="str">
        <f t="shared" si="4"/>
        <v>2021-08-25T00:00:00</v>
      </c>
      <c r="AD136" t="str">
        <f t="shared" si="5"/>
        <v>1</v>
      </c>
      <c r="AG136" t="s">
        <v>202</v>
      </c>
      <c r="AI136" t="s">
        <v>299</v>
      </c>
      <c r="AJ136" t="s">
        <v>570</v>
      </c>
      <c r="AK136" t="s">
        <v>205</v>
      </c>
      <c r="AL136" t="s">
        <v>206</v>
      </c>
      <c r="AN136" t="s">
        <v>207</v>
      </c>
      <c r="AO136">
        <v>2</v>
      </c>
      <c r="AP136" t="s">
        <v>208</v>
      </c>
      <c r="AQ136" t="s">
        <v>209</v>
      </c>
      <c r="AR136" t="s">
        <v>502</v>
      </c>
      <c r="AW136" t="s">
        <v>212</v>
      </c>
      <c r="AZ136" t="s">
        <v>209</v>
      </c>
      <c r="BI136" t="s">
        <v>212</v>
      </c>
      <c r="BJ136" t="s">
        <v>213</v>
      </c>
      <c r="BK136" t="s">
        <v>214</v>
      </c>
      <c r="BL136" t="s">
        <v>357</v>
      </c>
      <c r="BN136" t="s">
        <v>216</v>
      </c>
      <c r="BO136" t="s">
        <v>209</v>
      </c>
      <c r="BP136" t="s">
        <v>241</v>
      </c>
      <c r="BQ136">
        <v>4</v>
      </c>
      <c r="BS136" t="s">
        <v>220</v>
      </c>
      <c r="BU136" t="s">
        <v>212</v>
      </c>
      <c r="BZ136" t="s">
        <v>623</v>
      </c>
      <c r="CA136" t="s">
        <v>287</v>
      </c>
      <c r="CC136" t="s">
        <v>222</v>
      </c>
      <c r="CD136" t="s">
        <v>223</v>
      </c>
      <c r="CE136" t="s">
        <v>242</v>
      </c>
      <c r="CJ136" t="s">
        <v>206</v>
      </c>
      <c r="CK136" t="s">
        <v>230</v>
      </c>
      <c r="CL136" t="s">
        <v>231</v>
      </c>
      <c r="CM136" t="s">
        <v>232</v>
      </c>
      <c r="CN136" t="s">
        <v>233</v>
      </c>
      <c r="CP136" t="s">
        <v>212</v>
      </c>
      <c r="CQ136" t="s">
        <v>212</v>
      </c>
      <c r="CR136" t="s">
        <v>212</v>
      </c>
      <c r="CS136" t="s">
        <v>212</v>
      </c>
      <c r="CY136" t="s">
        <v>212</v>
      </c>
      <c r="DB136" t="s">
        <v>234</v>
      </c>
      <c r="DE136" t="s">
        <v>212</v>
      </c>
      <c r="DF136" t="s">
        <v>212</v>
      </c>
      <c r="DG136" t="s">
        <v>235</v>
      </c>
      <c r="DH136" t="s">
        <v>212</v>
      </c>
      <c r="DJ136" t="s">
        <v>236</v>
      </c>
      <c r="DM136" t="s">
        <v>212</v>
      </c>
    </row>
    <row r="137" spans="1:184" x14ac:dyDescent="0.3">
      <c r="A137">
        <v>21227963</v>
      </c>
      <c r="B137">
        <v>839487</v>
      </c>
      <c r="C137" t="str">
        <f>"150911600071"</f>
        <v>150911600071</v>
      </c>
      <c r="D137" t="s">
        <v>698</v>
      </c>
      <c r="E137" t="s">
        <v>699</v>
      </c>
      <c r="F137" t="s">
        <v>700</v>
      </c>
      <c r="G137" s="1">
        <v>42258</v>
      </c>
      <c r="I137" t="s">
        <v>199</v>
      </c>
      <c r="J137" t="s">
        <v>200</v>
      </c>
      <c r="K137" t="s">
        <v>260</v>
      </c>
      <c r="R137" t="str">
        <f>"КАЗАХСТАН, АКМОЛИНСКАЯ, СТЕПНОГОРСК, -, 42, 26"</f>
        <v>КАЗАХСТАН, АКМОЛИНСКАЯ, СТЕПНОГОРСК, -, 42, 26</v>
      </c>
      <c r="S137" t="str">
        <f>"ҚАЗАҚСТАН, АҚМОЛА, СТЕПНОГОР, -, 42, 26"</f>
        <v>ҚАЗАҚСТАН, АҚМОЛА, СТЕПНОГОР, -, 42, 26</v>
      </c>
      <c r="T137" t="str">
        <f>"-, 42, 26"</f>
        <v>-, 42, 26</v>
      </c>
      <c r="U137" t="str">
        <f>"-, 42, 26"</f>
        <v>-, 42, 26</v>
      </c>
      <c r="AC137" t="str">
        <f t="shared" si="4"/>
        <v>2021-08-25T00:00:00</v>
      </c>
      <c r="AD137" t="str">
        <f t="shared" si="5"/>
        <v>1</v>
      </c>
      <c r="AG137" t="s">
        <v>202</v>
      </c>
      <c r="AI137" t="s">
        <v>299</v>
      </c>
      <c r="AJ137" t="s">
        <v>570</v>
      </c>
      <c r="AK137" t="s">
        <v>261</v>
      </c>
      <c r="AL137" t="s">
        <v>206</v>
      </c>
      <c r="AN137" t="s">
        <v>207</v>
      </c>
      <c r="AO137">
        <v>2</v>
      </c>
      <c r="AP137" t="s">
        <v>208</v>
      </c>
      <c r="AQ137" t="s">
        <v>209</v>
      </c>
      <c r="AR137" t="s">
        <v>502</v>
      </c>
      <c r="AW137" t="s">
        <v>212</v>
      </c>
      <c r="AZ137" t="s">
        <v>209</v>
      </c>
      <c r="BI137" t="s">
        <v>212</v>
      </c>
      <c r="BJ137" t="s">
        <v>213</v>
      </c>
      <c r="BK137" t="s">
        <v>214</v>
      </c>
      <c r="BL137" t="s">
        <v>357</v>
      </c>
      <c r="BN137" t="s">
        <v>216</v>
      </c>
      <c r="BO137" t="s">
        <v>209</v>
      </c>
      <c r="BP137" t="s">
        <v>241</v>
      </c>
      <c r="BQ137">
        <v>4</v>
      </c>
      <c r="BS137" t="s">
        <v>220</v>
      </c>
      <c r="BU137" t="s">
        <v>212</v>
      </c>
      <c r="BZ137" t="s">
        <v>571</v>
      </c>
      <c r="CA137" t="s">
        <v>287</v>
      </c>
      <c r="CC137" t="s">
        <v>222</v>
      </c>
      <c r="CD137" t="s">
        <v>223</v>
      </c>
      <c r="CE137" t="s">
        <v>242</v>
      </c>
      <c r="CJ137" t="s">
        <v>206</v>
      </c>
      <c r="CK137" t="s">
        <v>230</v>
      </c>
      <c r="CL137" t="s">
        <v>231</v>
      </c>
      <c r="CM137" t="s">
        <v>232</v>
      </c>
      <c r="CN137" t="s">
        <v>233</v>
      </c>
      <c r="CP137" t="s">
        <v>212</v>
      </c>
      <c r="CQ137" t="s">
        <v>212</v>
      </c>
      <c r="CR137" t="s">
        <v>212</v>
      </c>
      <c r="CS137" t="s">
        <v>212</v>
      </c>
      <c r="CY137" t="s">
        <v>212</v>
      </c>
      <c r="DB137" t="s">
        <v>234</v>
      </c>
      <c r="DE137" t="s">
        <v>212</v>
      </c>
      <c r="DF137" t="s">
        <v>212</v>
      </c>
      <c r="DG137" t="s">
        <v>235</v>
      </c>
      <c r="DH137" t="s">
        <v>212</v>
      </c>
      <c r="DJ137" t="s">
        <v>236</v>
      </c>
      <c r="DM137" t="s">
        <v>212</v>
      </c>
    </row>
    <row r="138" spans="1:184" x14ac:dyDescent="0.3">
      <c r="A138">
        <v>21227736</v>
      </c>
      <c r="B138">
        <v>12026113</v>
      </c>
      <c r="C138" t="str">
        <f>"150425601761"</f>
        <v>150425601761</v>
      </c>
      <c r="D138" t="s">
        <v>701</v>
      </c>
      <c r="E138" t="s">
        <v>702</v>
      </c>
      <c r="F138" t="s">
        <v>703</v>
      </c>
      <c r="G138" s="1">
        <v>42119</v>
      </c>
      <c r="I138" t="s">
        <v>199</v>
      </c>
      <c r="J138" t="s">
        <v>200</v>
      </c>
      <c r="K138" t="s">
        <v>374</v>
      </c>
      <c r="Q138" t="s">
        <v>212</v>
      </c>
      <c r="R138" t="str">
        <f>"КАЗАХСТАН, АКМОЛИНСКАЯ, СТЕПНОГОРСК, КЕНТI Аксу, 4, 7"</f>
        <v>КАЗАХСТАН, АКМОЛИНСКАЯ, СТЕПНОГОРСК, КЕНТI Аксу, 4, 7</v>
      </c>
      <c r="S138" t="str">
        <f>"ҚАЗАҚСТАН, АҚМОЛА, СТЕПНОГОР, КЕНТI Аксу, 4, 7"</f>
        <v>ҚАЗАҚСТАН, АҚМОЛА, СТЕПНОГОР, КЕНТI Аксу, 4, 7</v>
      </c>
      <c r="T138" t="str">
        <f>"КЕНТI Аксу, 4, 7"</f>
        <v>КЕНТI Аксу, 4, 7</v>
      </c>
      <c r="U138" t="str">
        <f>"КЕНТI Аксу, 4, 7"</f>
        <v>КЕНТI Аксу, 4, 7</v>
      </c>
      <c r="AC138" t="str">
        <f t="shared" si="4"/>
        <v>2021-08-25T00:00:00</v>
      </c>
      <c r="AD138" t="str">
        <f t="shared" si="5"/>
        <v>1</v>
      </c>
      <c r="AG138" t="s">
        <v>202</v>
      </c>
      <c r="AI138" t="s">
        <v>299</v>
      </c>
      <c r="AJ138" t="s">
        <v>570</v>
      </c>
      <c r="AK138" t="s">
        <v>246</v>
      </c>
      <c r="AL138" t="s">
        <v>206</v>
      </c>
      <c r="AN138" t="s">
        <v>207</v>
      </c>
      <c r="AO138">
        <v>1</v>
      </c>
      <c r="AP138" t="s">
        <v>208</v>
      </c>
      <c r="AQ138" t="s">
        <v>209</v>
      </c>
      <c r="AR138" t="s">
        <v>210</v>
      </c>
      <c r="AW138" t="s">
        <v>212</v>
      </c>
      <c r="AZ138" t="s">
        <v>209</v>
      </c>
      <c r="BI138" t="s">
        <v>212</v>
      </c>
      <c r="BJ138" t="s">
        <v>213</v>
      </c>
      <c r="BK138" t="s">
        <v>214</v>
      </c>
      <c r="BL138" t="s">
        <v>357</v>
      </c>
      <c r="BN138" t="s">
        <v>247</v>
      </c>
      <c r="BO138" t="s">
        <v>209</v>
      </c>
      <c r="BP138" t="s">
        <v>241</v>
      </c>
      <c r="BQ138">
        <v>3</v>
      </c>
      <c r="BS138" t="s">
        <v>220</v>
      </c>
      <c r="BU138" t="s">
        <v>212</v>
      </c>
      <c r="BX138" t="s">
        <v>234</v>
      </c>
      <c r="BY138" t="s">
        <v>234</v>
      </c>
      <c r="BZ138" t="s">
        <v>571</v>
      </c>
      <c r="CA138" t="s">
        <v>287</v>
      </c>
      <c r="CC138" t="s">
        <v>222</v>
      </c>
      <c r="CD138" t="s">
        <v>223</v>
      </c>
      <c r="CE138" t="s">
        <v>242</v>
      </c>
      <c r="CJ138" t="s">
        <v>206</v>
      </c>
      <c r="CK138" t="s">
        <v>230</v>
      </c>
      <c r="CL138" t="s">
        <v>231</v>
      </c>
      <c r="CM138" t="s">
        <v>232</v>
      </c>
      <c r="CN138" t="s">
        <v>233</v>
      </c>
      <c r="CP138" t="s">
        <v>212</v>
      </c>
      <c r="CQ138" t="s">
        <v>212</v>
      </c>
      <c r="CR138" t="s">
        <v>212</v>
      </c>
      <c r="CS138" t="s">
        <v>212</v>
      </c>
      <c r="CY138" t="s">
        <v>212</v>
      </c>
      <c r="DB138" t="s">
        <v>234</v>
      </c>
      <c r="DE138" t="s">
        <v>212</v>
      </c>
      <c r="DF138" t="s">
        <v>212</v>
      </c>
      <c r="DG138" t="s">
        <v>235</v>
      </c>
      <c r="DH138" t="s">
        <v>212</v>
      </c>
      <c r="DJ138" t="s">
        <v>236</v>
      </c>
      <c r="DM138" t="s">
        <v>206</v>
      </c>
    </row>
    <row r="139" spans="1:184" x14ac:dyDescent="0.3">
      <c r="A139">
        <v>21226741</v>
      </c>
      <c r="B139">
        <v>771077</v>
      </c>
      <c r="C139" t="str">
        <f>"150209500118"</f>
        <v>150209500118</v>
      </c>
      <c r="D139" t="s">
        <v>704</v>
      </c>
      <c r="E139" t="s">
        <v>705</v>
      </c>
      <c r="F139" t="s">
        <v>706</v>
      </c>
      <c r="G139" s="1">
        <v>42044</v>
      </c>
      <c r="I139" t="s">
        <v>240</v>
      </c>
      <c r="J139" t="s">
        <v>200</v>
      </c>
      <c r="K139" t="s">
        <v>201</v>
      </c>
      <c r="Q139" t="s">
        <v>212</v>
      </c>
      <c r="R139" t="str">
        <f>"КАЗАХСТАН, АКМОЛИНСКАЯ, СТЕПНОГОРСК, 36, 57"</f>
        <v>КАЗАХСТАН, АКМОЛИНСКАЯ, СТЕПНОГОРСК, 36, 57</v>
      </c>
      <c r="S139" t="str">
        <f>"ҚАЗАҚСТАН, АҚМОЛА, СТЕПНОГОР, 36, 57"</f>
        <v>ҚАЗАҚСТАН, АҚМОЛА, СТЕПНОГОР, 36, 57</v>
      </c>
      <c r="T139" t="str">
        <f>"36, 57"</f>
        <v>36, 57</v>
      </c>
      <c r="U139" t="str">
        <f>"36, 57"</f>
        <v>36, 57</v>
      </c>
      <c r="AC139" t="str">
        <f t="shared" si="4"/>
        <v>2021-08-25T00:00:00</v>
      </c>
      <c r="AD139" t="str">
        <f t="shared" si="5"/>
        <v>1</v>
      </c>
      <c r="AG139" t="s">
        <v>202</v>
      </c>
      <c r="AI139" t="s">
        <v>299</v>
      </c>
      <c r="AJ139" t="s">
        <v>570</v>
      </c>
      <c r="AK139" t="s">
        <v>261</v>
      </c>
      <c r="AL139" t="s">
        <v>206</v>
      </c>
      <c r="AN139" t="s">
        <v>207</v>
      </c>
      <c r="AO139">
        <v>2</v>
      </c>
      <c r="AP139" t="s">
        <v>208</v>
      </c>
      <c r="AQ139" t="s">
        <v>209</v>
      </c>
      <c r="AR139" t="s">
        <v>502</v>
      </c>
      <c r="AW139" t="s">
        <v>212</v>
      </c>
      <c r="AZ139" t="s">
        <v>209</v>
      </c>
      <c r="BI139" t="s">
        <v>212</v>
      </c>
      <c r="BJ139" t="s">
        <v>213</v>
      </c>
      <c r="BK139" t="s">
        <v>214</v>
      </c>
      <c r="BL139" t="s">
        <v>357</v>
      </c>
      <c r="BN139" t="s">
        <v>216</v>
      </c>
      <c r="BO139" t="s">
        <v>209</v>
      </c>
      <c r="BP139" t="s">
        <v>241</v>
      </c>
      <c r="BQ139">
        <v>5</v>
      </c>
      <c r="BS139" t="s">
        <v>220</v>
      </c>
      <c r="BU139" t="s">
        <v>212</v>
      </c>
      <c r="BZ139" t="s">
        <v>571</v>
      </c>
      <c r="CA139" t="s">
        <v>287</v>
      </c>
      <c r="CC139" t="s">
        <v>209</v>
      </c>
      <c r="CE139" t="s">
        <v>242</v>
      </c>
      <c r="CJ139" t="s">
        <v>206</v>
      </c>
      <c r="CK139" t="s">
        <v>230</v>
      </c>
      <c r="CL139" t="s">
        <v>231</v>
      </c>
      <c r="CM139" t="s">
        <v>232</v>
      </c>
      <c r="CN139" t="s">
        <v>233</v>
      </c>
      <c r="CP139" t="s">
        <v>212</v>
      </c>
      <c r="CQ139" t="s">
        <v>212</v>
      </c>
      <c r="CR139" t="s">
        <v>212</v>
      </c>
      <c r="CS139" t="s">
        <v>212</v>
      </c>
      <c r="CY139" t="s">
        <v>212</v>
      </c>
      <c r="DB139" t="s">
        <v>234</v>
      </c>
      <c r="DE139" t="s">
        <v>212</v>
      </c>
      <c r="DF139" t="s">
        <v>212</v>
      </c>
      <c r="DG139" t="s">
        <v>235</v>
      </c>
      <c r="DH139" t="s">
        <v>212</v>
      </c>
      <c r="DJ139" t="s">
        <v>421</v>
      </c>
      <c r="DK139" t="s">
        <v>707</v>
      </c>
      <c r="DL139" t="s">
        <v>423</v>
      </c>
      <c r="DM139" t="s">
        <v>212</v>
      </c>
    </row>
    <row r="140" spans="1:184" x14ac:dyDescent="0.3">
      <c r="A140">
        <v>21225886</v>
      </c>
      <c r="B140">
        <v>8925857</v>
      </c>
      <c r="C140" t="str">
        <f>"150622602215"</f>
        <v>150622602215</v>
      </c>
      <c r="D140" t="s">
        <v>708</v>
      </c>
      <c r="E140" t="s">
        <v>516</v>
      </c>
      <c r="F140" t="s">
        <v>406</v>
      </c>
      <c r="G140" s="1">
        <v>42177</v>
      </c>
      <c r="I140" t="s">
        <v>199</v>
      </c>
      <c r="J140" t="s">
        <v>200</v>
      </c>
      <c r="K140" t="s">
        <v>260</v>
      </c>
      <c r="Q140" t="s">
        <v>212</v>
      </c>
      <c r="R140" t="str">
        <f>"КАЗАХСТАН, АКМОЛИНСКАЯ, СТЕПНОГОРСК, 14"</f>
        <v>КАЗАХСТАН, АКМОЛИНСКАЯ, СТЕПНОГОРСК, 14</v>
      </c>
      <c r="S140" t="str">
        <f>"ҚАЗАҚСТАН, АҚМОЛА, СТЕПНОГОР, 14"</f>
        <v>ҚАЗАҚСТАН, АҚМОЛА, СТЕПНОГОР, 14</v>
      </c>
      <c r="T140" t="str">
        <f>"14"</f>
        <v>14</v>
      </c>
      <c r="U140" t="str">
        <f>"14"</f>
        <v>14</v>
      </c>
      <c r="AC140" t="str">
        <f t="shared" si="4"/>
        <v>2021-08-25T00:00:00</v>
      </c>
      <c r="AD140" t="str">
        <f t="shared" si="5"/>
        <v>1</v>
      </c>
      <c r="AE140" t="str">
        <f>"2023-09-01T13:51:59"</f>
        <v>2023-09-01T13:51:59</v>
      </c>
      <c r="AF140" t="str">
        <f>"2024-05-25T13:51:59"</f>
        <v>2024-05-25T13:51:59</v>
      </c>
      <c r="AG140" t="s">
        <v>202</v>
      </c>
      <c r="AI140" t="s">
        <v>299</v>
      </c>
      <c r="AJ140" t="s">
        <v>570</v>
      </c>
      <c r="AK140" t="s">
        <v>246</v>
      </c>
      <c r="AL140" t="s">
        <v>206</v>
      </c>
      <c r="AN140" t="s">
        <v>207</v>
      </c>
      <c r="AO140">
        <v>1</v>
      </c>
      <c r="AP140" t="s">
        <v>208</v>
      </c>
      <c r="AQ140" t="s">
        <v>209</v>
      </c>
      <c r="AR140" t="s">
        <v>210</v>
      </c>
      <c r="AW140" t="s">
        <v>212</v>
      </c>
      <c r="AZ140" t="s">
        <v>209</v>
      </c>
      <c r="BI140" t="s">
        <v>212</v>
      </c>
      <c r="BJ140" t="s">
        <v>213</v>
      </c>
      <c r="BK140" t="s">
        <v>214</v>
      </c>
      <c r="BL140" t="s">
        <v>357</v>
      </c>
      <c r="BN140" t="s">
        <v>247</v>
      </c>
      <c r="BO140" t="s">
        <v>209</v>
      </c>
      <c r="BP140" t="s">
        <v>241</v>
      </c>
      <c r="BQ140">
        <v>3</v>
      </c>
      <c r="BS140" t="s">
        <v>220</v>
      </c>
      <c r="BU140" t="s">
        <v>212</v>
      </c>
      <c r="BZ140" t="s">
        <v>571</v>
      </c>
      <c r="CA140" t="s">
        <v>287</v>
      </c>
      <c r="CC140" t="s">
        <v>222</v>
      </c>
      <c r="CD140" t="s">
        <v>223</v>
      </c>
      <c r="CE140" t="s">
        <v>242</v>
      </c>
      <c r="CJ140" t="s">
        <v>206</v>
      </c>
      <c r="CK140" t="s">
        <v>230</v>
      </c>
      <c r="CL140" t="s">
        <v>231</v>
      </c>
      <c r="CM140" t="s">
        <v>232</v>
      </c>
      <c r="CN140" t="s">
        <v>233</v>
      </c>
      <c r="CP140" t="s">
        <v>212</v>
      </c>
      <c r="CQ140" t="s">
        <v>212</v>
      </c>
      <c r="CR140" t="s">
        <v>212</v>
      </c>
      <c r="CS140" t="s">
        <v>212</v>
      </c>
      <c r="CY140" t="s">
        <v>212</v>
      </c>
      <c r="DB140" t="s">
        <v>653</v>
      </c>
      <c r="DC140" t="str">
        <f>"№1924 Трудности  формирования чтения и письма. Фонетико-фонематическое недоразвитие."</f>
        <v>№1924 Трудности  формирования чтения и письма. Фонетико-фонематическое недоразвитие.</v>
      </c>
      <c r="DD140" t="str">
        <f>"2023-12-26T00:00:00"</f>
        <v>2023-12-26T00:00:00</v>
      </c>
      <c r="DE140" t="s">
        <v>212</v>
      </c>
      <c r="DF140" t="s">
        <v>206</v>
      </c>
      <c r="DG140" t="s">
        <v>235</v>
      </c>
      <c r="DH140" t="s">
        <v>206</v>
      </c>
      <c r="DI140" t="s">
        <v>663</v>
      </c>
      <c r="DJ140" t="s">
        <v>664</v>
      </c>
      <c r="DK140" t="s">
        <v>422</v>
      </c>
      <c r="DL140" t="s">
        <v>423</v>
      </c>
      <c r="DM140" t="s">
        <v>206</v>
      </c>
    </row>
    <row r="141" spans="1:184" x14ac:dyDescent="0.3">
      <c r="A141">
        <v>22529158</v>
      </c>
      <c r="B141">
        <v>165962</v>
      </c>
      <c r="C141" t="str">
        <f>"120920500544"</f>
        <v>120920500544</v>
      </c>
      <c r="D141" t="s">
        <v>709</v>
      </c>
      <c r="E141" t="s">
        <v>284</v>
      </c>
      <c r="F141" t="s">
        <v>710</v>
      </c>
      <c r="G141" s="1">
        <v>41172</v>
      </c>
      <c r="I141" t="s">
        <v>240</v>
      </c>
      <c r="J141" t="s">
        <v>200</v>
      </c>
      <c r="K141" t="s">
        <v>201</v>
      </c>
      <c r="Q141" t="s">
        <v>212</v>
      </c>
      <c r="R141" t="str">
        <f>"КАЗАХСТАН, АКМОЛИНСКАЯ, СТЕПНОГОРСК, 69, 49"</f>
        <v>КАЗАХСТАН, АКМОЛИНСКАЯ, СТЕПНОГОРСК, 69, 49</v>
      </c>
      <c r="S141" t="str">
        <f>"ҚАЗАҚСТАН, АҚМОЛА, СТЕПНОГОР, 69, 49"</f>
        <v>ҚАЗАҚСТАН, АҚМОЛА, СТЕПНОГОР, 69, 49</v>
      </c>
      <c r="T141" t="str">
        <f>"69, 49"</f>
        <v>69, 49</v>
      </c>
      <c r="U141" t="str">
        <f>"69, 49"</f>
        <v>69, 49</v>
      </c>
      <c r="AC141" t="str">
        <f>"2022-07-19T00:00:00"</f>
        <v>2022-07-19T00:00:00</v>
      </c>
      <c r="AD141" t="str">
        <f>"72"</f>
        <v>72</v>
      </c>
      <c r="AG141" t="s">
        <v>202</v>
      </c>
      <c r="AI141" t="s">
        <v>299</v>
      </c>
      <c r="AJ141" t="s">
        <v>419</v>
      </c>
      <c r="AK141" t="s">
        <v>261</v>
      </c>
      <c r="AL141" t="s">
        <v>206</v>
      </c>
      <c r="AN141" t="s">
        <v>207</v>
      </c>
      <c r="AO141">
        <v>1</v>
      </c>
      <c r="AP141" t="s">
        <v>208</v>
      </c>
      <c r="AQ141" t="s">
        <v>209</v>
      </c>
      <c r="AR141" t="s">
        <v>210</v>
      </c>
      <c r="AW141" t="s">
        <v>206</v>
      </c>
      <c r="AX141" t="s">
        <v>211</v>
      </c>
      <c r="AZ141" t="s">
        <v>209</v>
      </c>
      <c r="BI141" t="s">
        <v>212</v>
      </c>
      <c r="BJ141" t="s">
        <v>213</v>
      </c>
      <c r="BK141" t="s">
        <v>214</v>
      </c>
      <c r="BL141" t="s">
        <v>215</v>
      </c>
      <c r="BN141" t="s">
        <v>247</v>
      </c>
      <c r="BO141" t="s">
        <v>209</v>
      </c>
      <c r="BP141" t="s">
        <v>415</v>
      </c>
      <c r="BQ141" t="s">
        <v>416</v>
      </c>
      <c r="BS141" t="s">
        <v>219</v>
      </c>
      <c r="BT141" t="s">
        <v>220</v>
      </c>
      <c r="BU141" t="s">
        <v>206</v>
      </c>
      <c r="CA141" t="s">
        <v>287</v>
      </c>
      <c r="CC141" t="s">
        <v>222</v>
      </c>
      <c r="CD141" t="s">
        <v>223</v>
      </c>
      <c r="CE141" t="s">
        <v>242</v>
      </c>
      <c r="CJ141" t="s">
        <v>206</v>
      </c>
      <c r="CK141" t="s">
        <v>230</v>
      </c>
      <c r="CL141" t="s">
        <v>231</v>
      </c>
      <c r="CM141" t="s">
        <v>232</v>
      </c>
      <c r="CN141" t="s">
        <v>233</v>
      </c>
      <c r="CP141" t="s">
        <v>212</v>
      </c>
      <c r="CQ141" t="s">
        <v>212</v>
      </c>
      <c r="CR141" t="s">
        <v>212</v>
      </c>
      <c r="CS141" t="s">
        <v>212</v>
      </c>
      <c r="CY141" t="s">
        <v>212</v>
      </c>
      <c r="DB141" t="s">
        <v>234</v>
      </c>
      <c r="DE141" t="s">
        <v>212</v>
      </c>
      <c r="DF141" t="s">
        <v>212</v>
      </c>
      <c r="DG141" t="s">
        <v>235</v>
      </c>
      <c r="DH141" t="s">
        <v>212</v>
      </c>
      <c r="DJ141" t="s">
        <v>236</v>
      </c>
      <c r="DM141" t="s">
        <v>212</v>
      </c>
    </row>
    <row r="142" spans="1:184" x14ac:dyDescent="0.3">
      <c r="A142">
        <v>21225485</v>
      </c>
      <c r="B142">
        <v>8854190</v>
      </c>
      <c r="C142" t="str">
        <f>"150601502234"</f>
        <v>150601502234</v>
      </c>
      <c r="D142" t="s">
        <v>711</v>
      </c>
      <c r="E142" t="s">
        <v>712</v>
      </c>
      <c r="F142" t="s">
        <v>713</v>
      </c>
      <c r="G142" s="1">
        <v>42156</v>
      </c>
      <c r="I142" t="s">
        <v>240</v>
      </c>
      <c r="J142" t="s">
        <v>200</v>
      </c>
      <c r="K142" t="s">
        <v>201</v>
      </c>
      <c r="Q142" t="s">
        <v>212</v>
      </c>
      <c r="R142" t="str">
        <f>"КАЗАХСТАН, АКМОЛИНСКАЯ, СТЕПНОГОРСК, -, 20, 10"</f>
        <v>КАЗАХСТАН, АКМОЛИНСКАЯ, СТЕПНОГОРСК, -, 20, 10</v>
      </c>
      <c r="S142" t="str">
        <f>"ҚАЗАҚСТАН, АҚМОЛА, СТЕПНОГОР, -, 20, 10"</f>
        <v>ҚАЗАҚСТАН, АҚМОЛА, СТЕПНОГОР, -, 20, 10</v>
      </c>
      <c r="T142" t="str">
        <f>"-, 20, 10"</f>
        <v>-, 20, 10</v>
      </c>
      <c r="U142" t="str">
        <f>"-, 20, 10"</f>
        <v>-, 20, 10</v>
      </c>
      <c r="AC142" t="str">
        <f>"2021-08-25T00:00:00"</f>
        <v>2021-08-25T00:00:00</v>
      </c>
      <c r="AD142" t="str">
        <f>"1"</f>
        <v>1</v>
      </c>
      <c r="AE142" t="str">
        <f>"2023-09-01T13:41:29"</f>
        <v>2023-09-01T13:41:29</v>
      </c>
      <c r="AF142" t="str">
        <f>"2024-05-25T13:41:29"</f>
        <v>2024-05-25T13:41:29</v>
      </c>
      <c r="AG142" t="s">
        <v>202</v>
      </c>
      <c r="AI142" t="s">
        <v>299</v>
      </c>
      <c r="AJ142" t="s">
        <v>570</v>
      </c>
      <c r="AK142" t="s">
        <v>246</v>
      </c>
      <c r="AL142" t="s">
        <v>206</v>
      </c>
      <c r="AN142" t="s">
        <v>207</v>
      </c>
      <c r="AO142">
        <v>1</v>
      </c>
      <c r="AP142" t="s">
        <v>208</v>
      </c>
      <c r="AQ142" t="s">
        <v>209</v>
      </c>
      <c r="AR142" t="s">
        <v>502</v>
      </c>
      <c r="AW142" t="s">
        <v>212</v>
      </c>
      <c r="AZ142" t="s">
        <v>209</v>
      </c>
      <c r="BI142" t="s">
        <v>212</v>
      </c>
      <c r="BJ142" t="s">
        <v>213</v>
      </c>
      <c r="BK142" t="s">
        <v>214</v>
      </c>
      <c r="BL142" t="s">
        <v>357</v>
      </c>
      <c r="BN142" t="s">
        <v>247</v>
      </c>
      <c r="BO142" t="s">
        <v>209</v>
      </c>
      <c r="BP142" t="s">
        <v>241</v>
      </c>
      <c r="BQ142">
        <v>3</v>
      </c>
      <c r="BS142" t="s">
        <v>220</v>
      </c>
      <c r="BU142" t="s">
        <v>212</v>
      </c>
      <c r="BZ142" t="s">
        <v>571</v>
      </c>
      <c r="CA142" t="s">
        <v>287</v>
      </c>
      <c r="CC142" t="s">
        <v>222</v>
      </c>
      <c r="CD142" t="s">
        <v>223</v>
      </c>
      <c r="CE142" t="s">
        <v>242</v>
      </c>
      <c r="CJ142" t="s">
        <v>206</v>
      </c>
      <c r="CK142" t="s">
        <v>230</v>
      </c>
      <c r="CL142" t="s">
        <v>231</v>
      </c>
      <c r="CM142" t="s">
        <v>232</v>
      </c>
      <c r="CN142" t="s">
        <v>233</v>
      </c>
      <c r="CP142" t="s">
        <v>212</v>
      </c>
      <c r="CQ142" t="s">
        <v>212</v>
      </c>
      <c r="CR142" t="s">
        <v>212</v>
      </c>
      <c r="CS142" t="s">
        <v>212</v>
      </c>
      <c r="CY142" t="s">
        <v>212</v>
      </c>
      <c r="DB142" t="s">
        <v>714</v>
      </c>
      <c r="DC142" t="str">
        <f>"№1926 Задержка психического  развития. Общее недоразвитие речи 3 уровня."</f>
        <v>№1926 Задержка психического  развития. Общее недоразвитие речи 3 уровня.</v>
      </c>
      <c r="DD142" t="str">
        <f>"2023-12-26T00:00:00"</f>
        <v>2023-12-26T00:00:00</v>
      </c>
      <c r="DE142" t="s">
        <v>212</v>
      </c>
      <c r="DF142" t="s">
        <v>206</v>
      </c>
      <c r="DG142" t="s">
        <v>235</v>
      </c>
      <c r="DH142" t="s">
        <v>212</v>
      </c>
      <c r="DJ142" t="s">
        <v>236</v>
      </c>
      <c r="DM142" t="s">
        <v>212</v>
      </c>
    </row>
    <row r="143" spans="1:184" x14ac:dyDescent="0.3">
      <c r="A143">
        <v>22539492</v>
      </c>
      <c r="B143">
        <v>2818423</v>
      </c>
      <c r="C143" t="str">
        <f>"080401000075"</f>
        <v>080401000075</v>
      </c>
      <c r="D143" t="s">
        <v>715</v>
      </c>
      <c r="E143" t="s">
        <v>716</v>
      </c>
      <c r="F143" t="s">
        <v>717</v>
      </c>
      <c r="G143" s="1">
        <v>39539</v>
      </c>
      <c r="I143" t="s">
        <v>199</v>
      </c>
      <c r="J143" t="s">
        <v>200</v>
      </c>
      <c r="K143" t="s">
        <v>201</v>
      </c>
      <c r="L143" t="s">
        <v>212</v>
      </c>
      <c r="Q143" t="s">
        <v>206</v>
      </c>
      <c r="R143" t="str">
        <f>"АНДОРРА, КАРАГАНДИНСКАЯ, ТЕМИРТАУ, 31, 11"</f>
        <v>АНДОРРА, КАРАГАНДИНСКАЯ, ТЕМИРТАУ, 31, 11</v>
      </c>
      <c r="S143" t="str">
        <f>"АНДОРРА, ҚАРАҒАНДЫ, ТЕМІРТАУ, 31, 11"</f>
        <v>АНДОРРА, ҚАРАҒАНДЫ, ТЕМІРТАУ, 31, 11</v>
      </c>
      <c r="T143" t="str">
        <f>"31, 11"</f>
        <v>31, 11</v>
      </c>
      <c r="U143" t="str">
        <f>"31, 11"</f>
        <v>31, 11</v>
      </c>
      <c r="AC143" t="str">
        <f>"2022-08-22T00:00:00"</f>
        <v>2022-08-22T00:00:00</v>
      </c>
      <c r="AD143" t="str">
        <f>"111"</f>
        <v>111</v>
      </c>
      <c r="AG143" t="s">
        <v>646</v>
      </c>
      <c r="AH143" t="str">
        <f>"ckool007@mail.ru"</f>
        <v>ckool007@mail.ru</v>
      </c>
      <c r="AI143" t="s">
        <v>274</v>
      </c>
      <c r="AJ143" t="s">
        <v>204</v>
      </c>
      <c r="AK143" t="s">
        <v>253</v>
      </c>
      <c r="AL143" t="s">
        <v>206</v>
      </c>
      <c r="AN143" t="s">
        <v>254</v>
      </c>
      <c r="AO143">
        <v>1</v>
      </c>
      <c r="AP143" t="s">
        <v>208</v>
      </c>
      <c r="AQ143" t="s">
        <v>209</v>
      </c>
      <c r="AR143" t="s">
        <v>210</v>
      </c>
      <c r="AW143" t="s">
        <v>206</v>
      </c>
      <c r="AX143" t="s">
        <v>211</v>
      </c>
      <c r="AZ143" t="s">
        <v>209</v>
      </c>
      <c r="BI143" t="s">
        <v>212</v>
      </c>
      <c r="BJ143" t="s">
        <v>213</v>
      </c>
      <c r="BK143" t="s">
        <v>214</v>
      </c>
      <c r="BL143" t="s">
        <v>215</v>
      </c>
      <c r="BN143" t="s">
        <v>216</v>
      </c>
      <c r="BO143" t="s">
        <v>209</v>
      </c>
      <c r="BP143" t="s">
        <v>241</v>
      </c>
      <c r="BQ143">
        <v>4</v>
      </c>
      <c r="BS143" t="s">
        <v>219</v>
      </c>
      <c r="BT143" t="s">
        <v>220</v>
      </c>
      <c r="BU143" t="s">
        <v>206</v>
      </c>
      <c r="CA143" t="s">
        <v>287</v>
      </c>
      <c r="CC143" t="s">
        <v>718</v>
      </c>
      <c r="CD143" t="s">
        <v>223</v>
      </c>
      <c r="CE143" t="s">
        <v>242</v>
      </c>
      <c r="CJ143" t="s">
        <v>206</v>
      </c>
      <c r="CK143" t="s">
        <v>230</v>
      </c>
      <c r="CL143" t="s">
        <v>231</v>
      </c>
      <c r="CM143" t="s">
        <v>232</v>
      </c>
      <c r="CN143" t="s">
        <v>233</v>
      </c>
      <c r="CP143" t="s">
        <v>212</v>
      </c>
      <c r="CQ143" t="s">
        <v>212</v>
      </c>
      <c r="CR143" t="s">
        <v>212</v>
      </c>
      <c r="CS143" t="s">
        <v>212</v>
      </c>
      <c r="CY143" t="s">
        <v>212</v>
      </c>
      <c r="DB143" t="s">
        <v>234</v>
      </c>
      <c r="DE143" t="s">
        <v>212</v>
      </c>
      <c r="DF143" t="s">
        <v>212</v>
      </c>
      <c r="DG143" t="s">
        <v>235</v>
      </c>
      <c r="DH143" t="s">
        <v>212</v>
      </c>
      <c r="DJ143" t="s">
        <v>236</v>
      </c>
      <c r="DM143" t="s">
        <v>212</v>
      </c>
    </row>
    <row r="144" spans="1:184" x14ac:dyDescent="0.3">
      <c r="A144">
        <v>21224922</v>
      </c>
      <c r="B144">
        <v>12025982</v>
      </c>
      <c r="C144" t="str">
        <f>"141129501539"</f>
        <v>141129501539</v>
      </c>
      <c r="D144" t="s">
        <v>719</v>
      </c>
      <c r="E144" t="s">
        <v>720</v>
      </c>
      <c r="F144" t="s">
        <v>533</v>
      </c>
      <c r="G144" s="1">
        <v>41972</v>
      </c>
      <c r="I144" t="s">
        <v>240</v>
      </c>
      <c r="J144" t="s">
        <v>721</v>
      </c>
      <c r="K144" t="s">
        <v>260</v>
      </c>
      <c r="L144" t="s">
        <v>212</v>
      </c>
      <c r="R144" t="str">
        <f>"КАЗАХСТАН, АКМОЛИНСКАЯ, СТЕПНОГОРСК, 71, 22"</f>
        <v>КАЗАХСТАН, АКМОЛИНСКАЯ, СТЕПНОГОРСК, 71, 22</v>
      </c>
      <c r="S144" t="str">
        <f>"ҚАЗАҚСТАН, АҚМОЛА, СТЕПНОГОР, 71, 22"</f>
        <v>ҚАЗАҚСТАН, АҚМОЛА, СТЕПНОГОР, 71, 22</v>
      </c>
      <c r="T144" t="str">
        <f>"71, 22"</f>
        <v>71, 22</v>
      </c>
      <c r="U144" t="str">
        <f>"71, 22"</f>
        <v>71, 22</v>
      </c>
      <c r="AC144" t="str">
        <f>"2021-08-25T00:00:00"</f>
        <v>2021-08-25T00:00:00</v>
      </c>
      <c r="AD144" t="str">
        <f>"1"</f>
        <v>1</v>
      </c>
      <c r="AE144" t="str">
        <f>"2023-09-01T17:48:59"</f>
        <v>2023-09-01T17:48:59</v>
      </c>
      <c r="AF144" t="str">
        <f>"2024-05-25T17:48:59"</f>
        <v>2024-05-25T17:48:59</v>
      </c>
      <c r="AG144" t="s">
        <v>202</v>
      </c>
      <c r="AI144" t="s">
        <v>274</v>
      </c>
      <c r="AJ144" t="s">
        <v>570</v>
      </c>
      <c r="AK144" t="s">
        <v>205</v>
      </c>
      <c r="AL144" t="s">
        <v>206</v>
      </c>
      <c r="AN144" t="s">
        <v>207</v>
      </c>
      <c r="AO144">
        <v>2</v>
      </c>
      <c r="AP144" t="s">
        <v>208</v>
      </c>
      <c r="AQ144" t="s">
        <v>209</v>
      </c>
      <c r="AR144" t="s">
        <v>502</v>
      </c>
      <c r="AW144" t="s">
        <v>212</v>
      </c>
      <c r="AZ144" t="s">
        <v>209</v>
      </c>
      <c r="BI144" t="s">
        <v>212</v>
      </c>
      <c r="BJ144" t="s">
        <v>213</v>
      </c>
      <c r="BK144" t="s">
        <v>214</v>
      </c>
      <c r="BL144" t="s">
        <v>357</v>
      </c>
      <c r="BN144" t="s">
        <v>281</v>
      </c>
      <c r="BO144" t="s">
        <v>209</v>
      </c>
      <c r="BP144" t="s">
        <v>241</v>
      </c>
      <c r="BQ144">
        <v>5</v>
      </c>
      <c r="BS144" t="s">
        <v>220</v>
      </c>
      <c r="BU144" t="s">
        <v>212</v>
      </c>
      <c r="BZ144" t="s">
        <v>623</v>
      </c>
      <c r="CA144" t="s">
        <v>287</v>
      </c>
      <c r="CC144" t="s">
        <v>301</v>
      </c>
      <c r="CD144" t="s">
        <v>223</v>
      </c>
      <c r="CE144" t="s">
        <v>242</v>
      </c>
      <c r="CJ144" t="s">
        <v>206</v>
      </c>
      <c r="CK144" t="s">
        <v>230</v>
      </c>
      <c r="CL144" t="s">
        <v>231</v>
      </c>
      <c r="CM144" t="s">
        <v>232</v>
      </c>
      <c r="CN144" t="s">
        <v>233</v>
      </c>
      <c r="CP144" t="s">
        <v>212</v>
      </c>
      <c r="CQ144" t="s">
        <v>212</v>
      </c>
      <c r="CR144" t="s">
        <v>212</v>
      </c>
      <c r="CS144" t="s">
        <v>212</v>
      </c>
      <c r="CY144" t="s">
        <v>212</v>
      </c>
      <c r="DB144" t="s">
        <v>234</v>
      </c>
      <c r="DE144" t="s">
        <v>212</v>
      </c>
      <c r="DF144" t="s">
        <v>212</v>
      </c>
      <c r="DG144" t="s">
        <v>235</v>
      </c>
      <c r="DH144" t="s">
        <v>212</v>
      </c>
      <c r="DJ144" t="s">
        <v>236</v>
      </c>
      <c r="DM144" t="s">
        <v>212</v>
      </c>
    </row>
    <row r="145" spans="1:184" x14ac:dyDescent="0.3">
      <c r="A145">
        <v>21224809</v>
      </c>
      <c r="B145">
        <v>8796991</v>
      </c>
      <c r="C145" t="str">
        <f>"151129500582"</f>
        <v>151129500582</v>
      </c>
      <c r="D145" t="s">
        <v>722</v>
      </c>
      <c r="E145" t="s">
        <v>552</v>
      </c>
      <c r="F145" t="s">
        <v>723</v>
      </c>
      <c r="G145" s="1">
        <v>42337</v>
      </c>
      <c r="I145" t="s">
        <v>240</v>
      </c>
      <c r="J145" t="s">
        <v>200</v>
      </c>
      <c r="K145" t="s">
        <v>201</v>
      </c>
      <c r="R145" t="str">
        <f>"КАЗАХСТАН, АКМОЛИНСКАЯ, СТЕПНОГОРСК, 47, 20"</f>
        <v>КАЗАХСТАН, АКМОЛИНСКАЯ, СТЕПНОГОРСК, 47, 20</v>
      </c>
      <c r="S145" t="str">
        <f>"ҚАЗАҚСТАН, АҚМОЛА, СТЕПНОГОР, 47, 20"</f>
        <v>ҚАЗАҚСТАН, АҚМОЛА, СТЕПНОГОР, 47, 20</v>
      </c>
      <c r="T145" t="str">
        <f>"47, 20"</f>
        <v>47, 20</v>
      </c>
      <c r="U145" t="str">
        <f>"47, 20"</f>
        <v>47, 20</v>
      </c>
      <c r="AC145" t="str">
        <f>"2023-08-25T00:00:00"</f>
        <v>2023-08-25T00:00:00</v>
      </c>
      <c r="AD145" t="str">
        <f>"201"</f>
        <v>201</v>
      </c>
      <c r="AG145" t="s">
        <v>202</v>
      </c>
      <c r="AI145" t="s">
        <v>203</v>
      </c>
      <c r="AJ145" t="s">
        <v>570</v>
      </c>
      <c r="AK145" t="s">
        <v>205</v>
      </c>
      <c r="AL145" t="s">
        <v>206</v>
      </c>
      <c r="AN145" t="s">
        <v>207</v>
      </c>
      <c r="AO145">
        <v>2</v>
      </c>
      <c r="AP145" t="s">
        <v>208</v>
      </c>
      <c r="AQ145" t="s">
        <v>209</v>
      </c>
      <c r="AR145" t="s">
        <v>502</v>
      </c>
      <c r="AW145" t="s">
        <v>212</v>
      </c>
      <c r="AZ145" t="s">
        <v>209</v>
      </c>
      <c r="BI145" t="s">
        <v>212</v>
      </c>
      <c r="BJ145" t="s">
        <v>213</v>
      </c>
      <c r="BK145" t="s">
        <v>214</v>
      </c>
      <c r="BL145" t="s">
        <v>357</v>
      </c>
      <c r="BN145" t="s">
        <v>216</v>
      </c>
      <c r="BO145" t="s">
        <v>209</v>
      </c>
      <c r="BP145" t="s">
        <v>241</v>
      </c>
      <c r="BQ145">
        <v>4</v>
      </c>
      <c r="BS145" t="s">
        <v>220</v>
      </c>
      <c r="BU145" t="s">
        <v>212</v>
      </c>
      <c r="BZ145" t="s">
        <v>623</v>
      </c>
      <c r="CA145" t="s">
        <v>287</v>
      </c>
      <c r="CC145" t="s">
        <v>222</v>
      </c>
      <c r="CD145" t="s">
        <v>223</v>
      </c>
      <c r="CE145" t="s">
        <v>242</v>
      </c>
      <c r="CJ145" t="s">
        <v>206</v>
      </c>
      <c r="CK145" t="s">
        <v>230</v>
      </c>
      <c r="CL145" t="s">
        <v>231</v>
      </c>
      <c r="CM145" t="s">
        <v>232</v>
      </c>
      <c r="CN145" t="s">
        <v>233</v>
      </c>
      <c r="CP145" t="s">
        <v>212</v>
      </c>
      <c r="CQ145" t="s">
        <v>212</v>
      </c>
      <c r="CR145" t="s">
        <v>212</v>
      </c>
      <c r="CS145" t="s">
        <v>212</v>
      </c>
      <c r="CY145" t="s">
        <v>212</v>
      </c>
      <c r="DB145" t="s">
        <v>234</v>
      </c>
      <c r="DE145" t="s">
        <v>212</v>
      </c>
      <c r="DF145" t="s">
        <v>212</v>
      </c>
      <c r="DG145" t="s">
        <v>235</v>
      </c>
      <c r="DH145" t="s">
        <v>212</v>
      </c>
      <c r="DJ145" t="s">
        <v>236</v>
      </c>
      <c r="DM145" t="s">
        <v>212</v>
      </c>
      <c r="GB145" t="s">
        <v>206</v>
      </c>
    </row>
    <row r="146" spans="1:184" x14ac:dyDescent="0.3">
      <c r="A146">
        <v>22554928</v>
      </c>
      <c r="B146">
        <v>9014841</v>
      </c>
      <c r="C146" t="str">
        <f>"130610603393"</f>
        <v>130610603393</v>
      </c>
      <c r="D146" t="s">
        <v>724</v>
      </c>
      <c r="E146" t="s">
        <v>725</v>
      </c>
      <c r="F146" t="s">
        <v>726</v>
      </c>
      <c r="G146" s="1">
        <v>41435</v>
      </c>
      <c r="I146" t="s">
        <v>199</v>
      </c>
      <c r="J146" t="s">
        <v>200</v>
      </c>
      <c r="K146" t="s">
        <v>260</v>
      </c>
      <c r="Q146" t="s">
        <v>212</v>
      </c>
      <c r="R146" t="str">
        <f>"КАЗАХСТАН, АКМОЛИНСКАЯ, АККОЛЬСКИЙ РАЙОН, АУДАНДЫҚ МАҢЫЗЫ БАР ҚАЛАСЫ  Акколь, 127"</f>
        <v>КАЗАХСТАН, АКМОЛИНСКАЯ, АККОЛЬСКИЙ РАЙОН, АУДАНДЫҚ МАҢЫЗЫ БАР ҚАЛАСЫ  Акколь, 127</v>
      </c>
      <c r="S146" t="str">
        <f>"ҚАЗАҚСТАН, АҚМОЛА, АҚКӨЛ АУДАНЫ, АУДАНДЫҚ МАҢЫЗЫ БАР ҚАЛАСЫ  Акколь, 127"</f>
        <v>ҚАЗАҚСТАН, АҚМОЛА, АҚКӨЛ АУДАНЫ, АУДАНДЫҚ МАҢЫЗЫ БАР ҚАЛАСЫ  Акколь, 127</v>
      </c>
      <c r="T146" t="str">
        <f>"АУДАНДЫҚ МАҢЫЗЫ БАР ҚАЛАСЫ  Акколь, 127"</f>
        <v>АУДАНДЫҚ МАҢЫЗЫ БАР ҚАЛАСЫ  Акколь, 127</v>
      </c>
      <c r="U146" t="str">
        <f>"АУДАНДЫҚ МАҢЫЗЫ БАР ҚАЛАСЫ  Акколь, 127"</f>
        <v>АУДАНДЫҚ МАҢЫЗЫ БАР ҚАЛАСЫ  Акколь, 127</v>
      </c>
      <c r="AC146" t="str">
        <f>"2022-06-16T00:00:00"</f>
        <v>2022-06-16T00:00:00</v>
      </c>
      <c r="AD146" t="str">
        <f>"32"</f>
        <v>32</v>
      </c>
      <c r="AG146" t="s">
        <v>202</v>
      </c>
      <c r="AI146" t="s">
        <v>274</v>
      </c>
      <c r="AJ146" t="s">
        <v>501</v>
      </c>
      <c r="AK146" t="s">
        <v>205</v>
      </c>
      <c r="AL146" t="s">
        <v>206</v>
      </c>
      <c r="AN146" t="s">
        <v>207</v>
      </c>
      <c r="AO146">
        <v>1</v>
      </c>
      <c r="AP146" t="s">
        <v>208</v>
      </c>
      <c r="AQ146" t="s">
        <v>209</v>
      </c>
      <c r="AR146" t="s">
        <v>502</v>
      </c>
      <c r="AW146" t="s">
        <v>212</v>
      </c>
      <c r="AZ146" t="s">
        <v>209</v>
      </c>
      <c r="BI146" t="s">
        <v>212</v>
      </c>
      <c r="BJ146" t="s">
        <v>213</v>
      </c>
      <c r="BK146" t="s">
        <v>214</v>
      </c>
      <c r="BL146" t="s">
        <v>357</v>
      </c>
      <c r="BN146" t="s">
        <v>247</v>
      </c>
      <c r="BO146" t="s">
        <v>209</v>
      </c>
      <c r="BP146" t="s">
        <v>241</v>
      </c>
      <c r="BQ146">
        <v>3</v>
      </c>
      <c r="BS146" t="s">
        <v>219</v>
      </c>
      <c r="BT146" t="s">
        <v>220</v>
      </c>
      <c r="BU146" t="s">
        <v>206</v>
      </c>
      <c r="BX146" t="s">
        <v>221</v>
      </c>
      <c r="BY146" t="s">
        <v>221</v>
      </c>
      <c r="BZ146" t="s">
        <v>503</v>
      </c>
      <c r="CA146" t="s">
        <v>287</v>
      </c>
      <c r="CC146" t="s">
        <v>222</v>
      </c>
      <c r="CD146" t="s">
        <v>223</v>
      </c>
      <c r="CE146" t="s">
        <v>242</v>
      </c>
      <c r="CJ146" t="s">
        <v>206</v>
      </c>
      <c r="CK146" t="s">
        <v>230</v>
      </c>
      <c r="CL146" t="s">
        <v>231</v>
      </c>
      <c r="CM146" t="s">
        <v>232</v>
      </c>
      <c r="CN146" t="s">
        <v>233</v>
      </c>
      <c r="CP146" t="s">
        <v>212</v>
      </c>
      <c r="CQ146" t="s">
        <v>212</v>
      </c>
      <c r="CR146" t="s">
        <v>212</v>
      </c>
      <c r="CS146" t="s">
        <v>212</v>
      </c>
      <c r="CY146" t="s">
        <v>212</v>
      </c>
      <c r="DB146" t="s">
        <v>234</v>
      </c>
      <c r="DE146" t="s">
        <v>212</v>
      </c>
      <c r="DF146" t="s">
        <v>212</v>
      </c>
      <c r="DG146" t="s">
        <v>235</v>
      </c>
      <c r="DH146" t="s">
        <v>212</v>
      </c>
      <c r="DJ146" t="s">
        <v>236</v>
      </c>
      <c r="DM146" t="s">
        <v>212</v>
      </c>
    </row>
    <row r="147" spans="1:184" x14ac:dyDescent="0.3">
      <c r="A147">
        <v>21223763</v>
      </c>
      <c r="B147">
        <v>8859805</v>
      </c>
      <c r="C147" t="str">
        <f>"151114601743"</f>
        <v>151114601743</v>
      </c>
      <c r="D147" t="s">
        <v>727</v>
      </c>
      <c r="E147" t="s">
        <v>312</v>
      </c>
      <c r="F147" t="s">
        <v>728</v>
      </c>
      <c r="G147" s="1">
        <v>42322</v>
      </c>
      <c r="I147" t="s">
        <v>199</v>
      </c>
      <c r="J147" t="s">
        <v>200</v>
      </c>
      <c r="K147" t="s">
        <v>201</v>
      </c>
      <c r="Q147" t="s">
        <v>212</v>
      </c>
      <c r="R147" t="str">
        <f>"КАЗАХСТАН, АКМОЛИНСКАЯ, СТЕПНОГОРСК, Бестобе, 15, 7"</f>
        <v>КАЗАХСТАН, АКМОЛИНСКАЯ, СТЕПНОГОРСК, Бестобе, 15, 7</v>
      </c>
      <c r="S147" t="str">
        <f>"ҚАЗАҚСТАН, АҚМОЛА, СТЕПНОГОР, Бестобе, 15, 7"</f>
        <v>ҚАЗАҚСТАН, АҚМОЛА, СТЕПНОГОР, Бестобе, 15, 7</v>
      </c>
      <c r="T147" t="str">
        <f>"Бестобе, 15, 7"</f>
        <v>Бестобе, 15, 7</v>
      </c>
      <c r="U147" t="str">
        <f>"Бестобе, 15, 7"</f>
        <v>Бестобе, 15, 7</v>
      </c>
      <c r="AC147" t="str">
        <f>"2021-08-25T00:00:00"</f>
        <v>2021-08-25T00:00:00</v>
      </c>
      <c r="AD147" t="str">
        <f>"1"</f>
        <v>1</v>
      </c>
      <c r="AE147" t="str">
        <f>"2023-09-01T17:45:45"</f>
        <v>2023-09-01T17:45:45</v>
      </c>
      <c r="AF147" t="str">
        <f>"2024-05-25T17:45:45"</f>
        <v>2024-05-25T17:45:45</v>
      </c>
      <c r="AG147" t="s">
        <v>202</v>
      </c>
      <c r="AI147" t="s">
        <v>299</v>
      </c>
      <c r="AJ147" t="s">
        <v>570</v>
      </c>
      <c r="AK147" t="s">
        <v>253</v>
      </c>
      <c r="AL147" t="s">
        <v>206</v>
      </c>
      <c r="AN147" t="s">
        <v>254</v>
      </c>
      <c r="AO147">
        <v>2</v>
      </c>
      <c r="AP147" t="s">
        <v>208</v>
      </c>
      <c r="AQ147" t="s">
        <v>209</v>
      </c>
      <c r="AR147" t="s">
        <v>502</v>
      </c>
      <c r="AW147" t="s">
        <v>212</v>
      </c>
      <c r="AZ147" t="s">
        <v>209</v>
      </c>
      <c r="BI147" t="s">
        <v>212</v>
      </c>
      <c r="BJ147" t="s">
        <v>213</v>
      </c>
      <c r="BK147" t="s">
        <v>214</v>
      </c>
      <c r="BL147" t="s">
        <v>357</v>
      </c>
      <c r="BN147" t="s">
        <v>281</v>
      </c>
      <c r="BO147" t="s">
        <v>209</v>
      </c>
      <c r="BP147" t="s">
        <v>241</v>
      </c>
      <c r="BQ147">
        <v>5</v>
      </c>
      <c r="BS147" t="s">
        <v>220</v>
      </c>
      <c r="BU147" t="s">
        <v>212</v>
      </c>
      <c r="BZ147" t="s">
        <v>623</v>
      </c>
      <c r="CA147" t="s">
        <v>287</v>
      </c>
      <c r="CC147" t="s">
        <v>224</v>
      </c>
      <c r="CD147" t="s">
        <v>349</v>
      </c>
      <c r="CE147" t="s">
        <v>242</v>
      </c>
      <c r="CJ147" t="s">
        <v>206</v>
      </c>
      <c r="CK147" t="s">
        <v>230</v>
      </c>
      <c r="CL147" t="s">
        <v>231</v>
      </c>
      <c r="CM147" t="s">
        <v>232</v>
      </c>
      <c r="CN147" t="s">
        <v>233</v>
      </c>
      <c r="CP147" t="s">
        <v>212</v>
      </c>
      <c r="CQ147" t="s">
        <v>212</v>
      </c>
      <c r="CR147" t="s">
        <v>212</v>
      </c>
      <c r="CS147" t="s">
        <v>212</v>
      </c>
      <c r="CY147" t="s">
        <v>212</v>
      </c>
      <c r="DB147" t="s">
        <v>234</v>
      </c>
      <c r="DE147" t="s">
        <v>212</v>
      </c>
      <c r="DF147" t="s">
        <v>212</v>
      </c>
      <c r="DG147" t="s">
        <v>235</v>
      </c>
      <c r="DH147" t="s">
        <v>212</v>
      </c>
      <c r="DJ147" t="s">
        <v>236</v>
      </c>
      <c r="DM147" t="s">
        <v>206</v>
      </c>
      <c r="GB147" t="s">
        <v>206</v>
      </c>
    </row>
    <row r="148" spans="1:184" x14ac:dyDescent="0.3">
      <c r="A148">
        <v>21223707</v>
      </c>
      <c r="B148">
        <v>12025827</v>
      </c>
      <c r="C148" t="str">
        <f>"150623605483"</f>
        <v>150623605483</v>
      </c>
      <c r="D148" t="s">
        <v>729</v>
      </c>
      <c r="E148" t="s">
        <v>730</v>
      </c>
      <c r="F148" t="s">
        <v>731</v>
      </c>
      <c r="G148" s="1">
        <v>42178</v>
      </c>
      <c r="I148" t="s">
        <v>199</v>
      </c>
      <c r="J148" t="s">
        <v>200</v>
      </c>
      <c r="K148" t="s">
        <v>201</v>
      </c>
      <c r="R148" t="str">
        <f>"КАЗАХСТАН, АКМОЛИНСКАЯ, СТЕПНОГОРСК, КЕНТI Аксу, 9"</f>
        <v>КАЗАХСТАН, АКМОЛИНСКАЯ, СТЕПНОГОРСК, КЕНТI Аксу, 9</v>
      </c>
      <c r="S148" t="str">
        <f>"ҚАЗАҚСТАН, АҚМОЛА, СТЕПНОГОР, КЕНТI Аксу, 9"</f>
        <v>ҚАЗАҚСТАН, АҚМОЛА, СТЕПНОГОР, КЕНТI Аксу, 9</v>
      </c>
      <c r="T148" t="str">
        <f>"КЕНТI Аксу, 9"</f>
        <v>КЕНТI Аксу, 9</v>
      </c>
      <c r="U148" t="str">
        <f>"КЕНТI Аксу, 9"</f>
        <v>КЕНТI Аксу, 9</v>
      </c>
      <c r="AC148" t="str">
        <f>"2021-08-25T00:00:00"</f>
        <v>2021-08-25T00:00:00</v>
      </c>
      <c r="AD148" t="str">
        <f>"1"</f>
        <v>1</v>
      </c>
      <c r="AE148" t="str">
        <f>"2023-09-01T22:52:46"</f>
        <v>2023-09-01T22:52:46</v>
      </c>
      <c r="AF148" t="str">
        <f>"2024-05-25T22:52:46"</f>
        <v>2024-05-25T22:52:46</v>
      </c>
      <c r="AG148" t="s">
        <v>202</v>
      </c>
      <c r="AI148" t="s">
        <v>299</v>
      </c>
      <c r="AJ148" t="s">
        <v>570</v>
      </c>
      <c r="AK148" t="s">
        <v>253</v>
      </c>
      <c r="AL148" t="s">
        <v>206</v>
      </c>
      <c r="AN148" t="s">
        <v>254</v>
      </c>
      <c r="AO148">
        <v>2</v>
      </c>
      <c r="AP148" t="s">
        <v>208</v>
      </c>
      <c r="AQ148" t="s">
        <v>209</v>
      </c>
      <c r="AR148" t="s">
        <v>502</v>
      </c>
      <c r="AW148" t="s">
        <v>212</v>
      </c>
      <c r="AZ148" t="s">
        <v>209</v>
      </c>
      <c r="BI148" t="s">
        <v>212</v>
      </c>
      <c r="BJ148" t="s">
        <v>213</v>
      </c>
      <c r="BK148" t="s">
        <v>214</v>
      </c>
      <c r="BL148" t="s">
        <v>357</v>
      </c>
      <c r="BN148" t="s">
        <v>216</v>
      </c>
      <c r="BO148" t="s">
        <v>209</v>
      </c>
      <c r="BP148" t="s">
        <v>241</v>
      </c>
      <c r="BQ148">
        <v>4</v>
      </c>
      <c r="BS148" t="s">
        <v>220</v>
      </c>
      <c r="BU148" t="s">
        <v>212</v>
      </c>
      <c r="BZ148" t="s">
        <v>623</v>
      </c>
      <c r="CA148" t="s">
        <v>287</v>
      </c>
      <c r="CC148" t="s">
        <v>222</v>
      </c>
      <c r="CD148" t="s">
        <v>223</v>
      </c>
      <c r="CE148" t="s">
        <v>242</v>
      </c>
      <c r="CJ148" t="s">
        <v>206</v>
      </c>
      <c r="CK148" t="s">
        <v>230</v>
      </c>
      <c r="CL148" t="s">
        <v>231</v>
      </c>
      <c r="CM148" t="s">
        <v>232</v>
      </c>
      <c r="CN148" t="s">
        <v>233</v>
      </c>
      <c r="CP148" t="s">
        <v>212</v>
      </c>
      <c r="CQ148" t="s">
        <v>212</v>
      </c>
      <c r="CR148" t="s">
        <v>212</v>
      </c>
      <c r="CS148" t="s">
        <v>212</v>
      </c>
      <c r="CY148" t="s">
        <v>212</v>
      </c>
      <c r="DB148" t="s">
        <v>234</v>
      </c>
      <c r="DE148" t="s">
        <v>212</v>
      </c>
      <c r="DF148" t="s">
        <v>212</v>
      </c>
      <c r="DG148" t="s">
        <v>235</v>
      </c>
      <c r="DH148" t="s">
        <v>212</v>
      </c>
      <c r="DJ148" t="s">
        <v>236</v>
      </c>
      <c r="DM148" t="s">
        <v>212</v>
      </c>
    </row>
    <row r="149" spans="1:184" x14ac:dyDescent="0.3">
      <c r="A149">
        <v>22690983</v>
      </c>
      <c r="B149">
        <v>9204075</v>
      </c>
      <c r="C149" t="str">
        <f>"150305604347"</f>
        <v>150305604347</v>
      </c>
      <c r="D149" t="s">
        <v>732</v>
      </c>
      <c r="E149" t="s">
        <v>554</v>
      </c>
      <c r="F149" t="s">
        <v>408</v>
      </c>
      <c r="G149" s="1">
        <v>42068</v>
      </c>
      <c r="I149" t="s">
        <v>199</v>
      </c>
      <c r="J149" t="s">
        <v>200</v>
      </c>
      <c r="K149" t="s">
        <v>260</v>
      </c>
      <c r="R149" t="str">
        <f>"КАЗАХСТАН, АКМОЛИНСКАЯ, СТЕПНОГОРСК, 30, 130"</f>
        <v>КАЗАХСТАН, АКМОЛИНСКАЯ, СТЕПНОГОРСК, 30, 130</v>
      </c>
      <c r="S149" t="str">
        <f>"ҚАЗАҚСТАН, АҚМОЛА, СТЕПНОГОР, 30, 130"</f>
        <v>ҚАЗАҚСТАН, АҚМОЛА, СТЕПНОГОР, 30, 130</v>
      </c>
      <c r="T149" t="str">
        <f>"30, 130"</f>
        <v>30, 130</v>
      </c>
      <c r="U149" t="str">
        <f>"30, 130"</f>
        <v>30, 130</v>
      </c>
      <c r="AC149" t="str">
        <f>"2022-08-25T00:00:00"</f>
        <v>2022-08-25T00:00:00</v>
      </c>
      <c r="AD149" t="str">
        <f>"120"</f>
        <v>120</v>
      </c>
      <c r="AG149" t="s">
        <v>202</v>
      </c>
      <c r="AI149" t="s">
        <v>269</v>
      </c>
      <c r="AJ149" t="s">
        <v>570</v>
      </c>
      <c r="AK149" t="s">
        <v>261</v>
      </c>
      <c r="AL149" t="s">
        <v>206</v>
      </c>
      <c r="AN149" t="s">
        <v>207</v>
      </c>
      <c r="AO149">
        <v>2</v>
      </c>
      <c r="AP149" t="s">
        <v>208</v>
      </c>
      <c r="AQ149" t="s">
        <v>209</v>
      </c>
      <c r="AR149" t="s">
        <v>210</v>
      </c>
      <c r="AW149" t="s">
        <v>206</v>
      </c>
      <c r="AX149" t="s">
        <v>211</v>
      </c>
      <c r="AZ149" t="s">
        <v>209</v>
      </c>
      <c r="BI149" t="s">
        <v>212</v>
      </c>
      <c r="BJ149" t="s">
        <v>213</v>
      </c>
      <c r="BK149" t="s">
        <v>214</v>
      </c>
      <c r="BL149" t="s">
        <v>357</v>
      </c>
      <c r="BN149" t="s">
        <v>216</v>
      </c>
      <c r="BO149" t="s">
        <v>209</v>
      </c>
      <c r="BP149" t="s">
        <v>241</v>
      </c>
      <c r="BQ149">
        <v>4</v>
      </c>
      <c r="BS149" t="s">
        <v>220</v>
      </c>
      <c r="BU149" t="s">
        <v>212</v>
      </c>
      <c r="BZ149" t="s">
        <v>571</v>
      </c>
      <c r="CA149" t="s">
        <v>287</v>
      </c>
      <c r="CC149" t="s">
        <v>222</v>
      </c>
      <c r="CD149" t="s">
        <v>223</v>
      </c>
      <c r="CE149" t="s">
        <v>242</v>
      </c>
      <c r="CJ149" t="s">
        <v>206</v>
      </c>
      <c r="CK149" t="s">
        <v>230</v>
      </c>
      <c r="CL149" t="s">
        <v>231</v>
      </c>
      <c r="CM149" t="s">
        <v>232</v>
      </c>
      <c r="CN149" t="s">
        <v>233</v>
      </c>
      <c r="CP149" t="s">
        <v>212</v>
      </c>
      <c r="CQ149" t="s">
        <v>212</v>
      </c>
      <c r="CR149" t="s">
        <v>212</v>
      </c>
      <c r="CS149" t="s">
        <v>212</v>
      </c>
      <c r="CY149" t="s">
        <v>212</v>
      </c>
      <c r="DB149" t="s">
        <v>234</v>
      </c>
      <c r="DE149" t="s">
        <v>212</v>
      </c>
      <c r="DF149" t="s">
        <v>212</v>
      </c>
      <c r="DG149" t="s">
        <v>235</v>
      </c>
      <c r="DH149" t="s">
        <v>212</v>
      </c>
      <c r="DJ149" t="s">
        <v>236</v>
      </c>
      <c r="DM149" t="s">
        <v>212</v>
      </c>
    </row>
    <row r="150" spans="1:184" x14ac:dyDescent="0.3">
      <c r="A150">
        <v>22724324</v>
      </c>
      <c r="B150">
        <v>841416</v>
      </c>
      <c r="C150" t="str">
        <f>"140315502852"</f>
        <v>140315502852</v>
      </c>
      <c r="D150" t="s">
        <v>733</v>
      </c>
      <c r="E150" t="s">
        <v>734</v>
      </c>
      <c r="F150" t="s">
        <v>735</v>
      </c>
      <c r="G150" s="1">
        <v>41713</v>
      </c>
      <c r="I150" t="s">
        <v>240</v>
      </c>
      <c r="J150" t="s">
        <v>200</v>
      </c>
      <c r="K150" t="s">
        <v>260</v>
      </c>
      <c r="R150" t="str">
        <f>"КАЗАХСТАН, АКМОЛИНСКАЯ, СТЕПНОГОРСК, 29, 606"</f>
        <v>КАЗАХСТАН, АКМОЛИНСКАЯ, СТЕПНОГОРСК, 29, 606</v>
      </c>
      <c r="S150" t="str">
        <f>"ҚАЗАҚСТАН, АҚМОЛА, СТЕПНОГОР, 29, 606"</f>
        <v>ҚАЗАҚСТАН, АҚМОЛА, СТЕПНОГОР, 29, 606</v>
      </c>
      <c r="T150" t="str">
        <f>"29, 606"</f>
        <v>29, 606</v>
      </c>
      <c r="U150" t="str">
        <f>"29, 606"</f>
        <v>29, 606</v>
      </c>
      <c r="AC150" t="str">
        <f>"2022-08-24T00:00:00"</f>
        <v>2022-08-24T00:00:00</v>
      </c>
      <c r="AD150" t="str">
        <f>"114"</f>
        <v>114</v>
      </c>
      <c r="AG150" t="s">
        <v>202</v>
      </c>
      <c r="AI150" t="s">
        <v>269</v>
      </c>
      <c r="AJ150" t="s">
        <v>540</v>
      </c>
      <c r="AK150" t="s">
        <v>246</v>
      </c>
      <c r="AL150" t="s">
        <v>206</v>
      </c>
      <c r="AN150" t="s">
        <v>207</v>
      </c>
      <c r="AO150">
        <v>2</v>
      </c>
      <c r="AP150" t="s">
        <v>208</v>
      </c>
      <c r="AQ150" t="s">
        <v>209</v>
      </c>
      <c r="AR150" t="s">
        <v>502</v>
      </c>
      <c r="AW150" t="s">
        <v>212</v>
      </c>
      <c r="AZ150" t="s">
        <v>209</v>
      </c>
      <c r="BI150" t="s">
        <v>212</v>
      </c>
      <c r="BJ150" t="s">
        <v>213</v>
      </c>
      <c r="BK150" t="s">
        <v>214</v>
      </c>
      <c r="BL150" t="s">
        <v>357</v>
      </c>
      <c r="BN150" t="s">
        <v>247</v>
      </c>
      <c r="BO150" t="s">
        <v>209</v>
      </c>
      <c r="BP150" t="s">
        <v>241</v>
      </c>
      <c r="BQ150">
        <v>3</v>
      </c>
      <c r="BS150" t="s">
        <v>219</v>
      </c>
      <c r="BT150" t="s">
        <v>220</v>
      </c>
      <c r="BU150" t="s">
        <v>206</v>
      </c>
      <c r="BZ150" t="s">
        <v>541</v>
      </c>
      <c r="CA150" t="s">
        <v>287</v>
      </c>
      <c r="CC150" t="s">
        <v>222</v>
      </c>
      <c r="CD150" t="s">
        <v>223</v>
      </c>
      <c r="CE150" t="s">
        <v>242</v>
      </c>
      <c r="CJ150" t="s">
        <v>206</v>
      </c>
      <c r="CK150" t="s">
        <v>230</v>
      </c>
      <c r="CL150" t="s">
        <v>231</v>
      </c>
      <c r="CM150" t="s">
        <v>232</v>
      </c>
      <c r="CN150" t="s">
        <v>233</v>
      </c>
      <c r="CP150" t="s">
        <v>212</v>
      </c>
      <c r="CQ150" t="s">
        <v>212</v>
      </c>
      <c r="CR150" t="s">
        <v>212</v>
      </c>
      <c r="CS150" t="s">
        <v>212</v>
      </c>
      <c r="CY150" t="s">
        <v>212</v>
      </c>
      <c r="DB150" t="s">
        <v>234</v>
      </c>
      <c r="DE150" t="s">
        <v>212</v>
      </c>
      <c r="DF150" t="s">
        <v>212</v>
      </c>
      <c r="DG150" t="s">
        <v>235</v>
      </c>
      <c r="DH150" t="s">
        <v>212</v>
      </c>
      <c r="DJ150" t="s">
        <v>236</v>
      </c>
      <c r="DM150" t="s">
        <v>212</v>
      </c>
    </row>
    <row r="151" spans="1:184" x14ac:dyDescent="0.3">
      <c r="A151">
        <v>21223683</v>
      </c>
      <c r="B151">
        <v>7300330</v>
      </c>
      <c r="C151" t="str">
        <f>"150219501923"</f>
        <v>150219501923</v>
      </c>
      <c r="D151" t="s">
        <v>736</v>
      </c>
      <c r="E151" t="s">
        <v>737</v>
      </c>
      <c r="F151" t="s">
        <v>738</v>
      </c>
      <c r="G151" s="1">
        <v>42054</v>
      </c>
      <c r="I151" t="s">
        <v>240</v>
      </c>
      <c r="J151" t="s">
        <v>200</v>
      </c>
      <c r="K151" t="s">
        <v>201</v>
      </c>
      <c r="R151" t="str">
        <f>"КАЗАХСТАН, АКМОЛИНСКАЯ, СТЕПНОГОРСК, 11, 12"</f>
        <v>КАЗАХСТАН, АКМОЛИНСКАЯ, СТЕПНОГОРСК, 11, 12</v>
      </c>
      <c r="S151" t="str">
        <f>"ҚАЗАҚСТАН, АҚМОЛА, СТЕПНОГОР, 11, 12"</f>
        <v>ҚАЗАҚСТАН, АҚМОЛА, СТЕПНОГОР, 11, 12</v>
      </c>
      <c r="T151" t="str">
        <f>"11, 12"</f>
        <v>11, 12</v>
      </c>
      <c r="U151" t="str">
        <f>"11, 12"</f>
        <v>11, 12</v>
      </c>
      <c r="AC151" t="str">
        <f>"2021-08-25T00:00:00"</f>
        <v>2021-08-25T00:00:00</v>
      </c>
      <c r="AD151" t="str">
        <f>"1"</f>
        <v>1</v>
      </c>
      <c r="AG151" t="s">
        <v>202</v>
      </c>
      <c r="AI151" t="s">
        <v>299</v>
      </c>
      <c r="AJ151" t="s">
        <v>570</v>
      </c>
      <c r="AK151" t="s">
        <v>253</v>
      </c>
      <c r="AL151" t="s">
        <v>206</v>
      </c>
      <c r="AN151" t="s">
        <v>254</v>
      </c>
      <c r="AO151">
        <v>2</v>
      </c>
      <c r="AP151" t="s">
        <v>208</v>
      </c>
      <c r="AQ151" t="s">
        <v>209</v>
      </c>
      <c r="AR151" t="s">
        <v>502</v>
      </c>
      <c r="AW151" t="s">
        <v>212</v>
      </c>
      <c r="AZ151" t="s">
        <v>209</v>
      </c>
      <c r="BI151" t="s">
        <v>212</v>
      </c>
      <c r="BJ151" t="s">
        <v>213</v>
      </c>
      <c r="BK151" t="s">
        <v>214</v>
      </c>
      <c r="BL151" t="s">
        <v>357</v>
      </c>
      <c r="BN151" t="s">
        <v>247</v>
      </c>
      <c r="BO151" t="s">
        <v>209</v>
      </c>
      <c r="BP151" t="s">
        <v>241</v>
      </c>
      <c r="BQ151">
        <v>3</v>
      </c>
      <c r="BS151" t="s">
        <v>220</v>
      </c>
      <c r="BU151" t="s">
        <v>212</v>
      </c>
      <c r="BZ151" t="s">
        <v>623</v>
      </c>
      <c r="CA151" t="s">
        <v>287</v>
      </c>
      <c r="CC151" t="s">
        <v>222</v>
      </c>
      <c r="CD151" t="s">
        <v>223</v>
      </c>
      <c r="CE151" t="s">
        <v>242</v>
      </c>
      <c r="CJ151" t="s">
        <v>206</v>
      </c>
      <c r="CK151" t="s">
        <v>230</v>
      </c>
      <c r="CL151" t="s">
        <v>231</v>
      </c>
      <c r="CM151" t="s">
        <v>232</v>
      </c>
      <c r="CN151" t="s">
        <v>233</v>
      </c>
      <c r="CP151" t="s">
        <v>212</v>
      </c>
      <c r="CQ151" t="s">
        <v>212</v>
      </c>
      <c r="CR151" t="s">
        <v>212</v>
      </c>
      <c r="CS151" t="s">
        <v>212</v>
      </c>
      <c r="CY151" t="s">
        <v>212</v>
      </c>
      <c r="DB151" t="s">
        <v>714</v>
      </c>
      <c r="DC151" t="str">
        <f>"№340 Задержка психического развития. Общее недоразвитие речи  3 уровня"</f>
        <v>№340 Задержка психического развития. Общее недоразвитие речи  3 уровня</v>
      </c>
      <c r="DD151" t="str">
        <f>"2023-04-25T00:00:00"</f>
        <v>2023-04-25T00:00:00</v>
      </c>
      <c r="DE151" t="s">
        <v>212</v>
      </c>
      <c r="DF151" t="s">
        <v>206</v>
      </c>
      <c r="DG151" t="s">
        <v>235</v>
      </c>
      <c r="DH151" t="s">
        <v>212</v>
      </c>
      <c r="DJ151" t="s">
        <v>236</v>
      </c>
      <c r="DM151" t="s">
        <v>212</v>
      </c>
    </row>
    <row r="152" spans="1:184" x14ac:dyDescent="0.3">
      <c r="A152">
        <v>21223651</v>
      </c>
      <c r="B152">
        <v>12025805</v>
      </c>
      <c r="C152" t="str">
        <f>"150510604669"</f>
        <v>150510604669</v>
      </c>
      <c r="D152" t="s">
        <v>739</v>
      </c>
      <c r="E152" t="s">
        <v>740</v>
      </c>
      <c r="F152" t="s">
        <v>741</v>
      </c>
      <c r="G152" s="1">
        <v>42134</v>
      </c>
      <c r="I152" t="s">
        <v>199</v>
      </c>
      <c r="J152" t="s">
        <v>200</v>
      </c>
      <c r="K152" t="s">
        <v>201</v>
      </c>
      <c r="R152" t="str">
        <f>"КАЗАХСТАН, АКМОЛИНСКАЯ, СТЕПНОГОРСК, Бестобе, 4, 13"</f>
        <v>КАЗАХСТАН, АКМОЛИНСКАЯ, СТЕПНОГОРСК, Бестобе, 4, 13</v>
      </c>
      <c r="S152" t="str">
        <f>"ҚАЗАҚСТАН, АҚМОЛА, СТЕПНОГОР, Бестобе, 4, 13"</f>
        <v>ҚАЗАҚСТАН, АҚМОЛА, СТЕПНОГОР, Бестобе, 4, 13</v>
      </c>
      <c r="T152" t="str">
        <f>"Бестобе, 4, 13"</f>
        <v>Бестобе, 4, 13</v>
      </c>
      <c r="U152" t="str">
        <f>"Бестобе, 4, 13"</f>
        <v>Бестобе, 4, 13</v>
      </c>
      <c r="AC152" t="str">
        <f>"2021-08-25T00:00:00"</f>
        <v>2021-08-25T00:00:00</v>
      </c>
      <c r="AD152" t="str">
        <f>"1"</f>
        <v>1</v>
      </c>
      <c r="AG152" t="s">
        <v>202</v>
      </c>
      <c r="AI152" t="s">
        <v>269</v>
      </c>
      <c r="AJ152" t="s">
        <v>570</v>
      </c>
      <c r="AK152" t="s">
        <v>253</v>
      </c>
      <c r="AL152" t="s">
        <v>206</v>
      </c>
      <c r="AN152" t="s">
        <v>254</v>
      </c>
      <c r="AO152">
        <v>2</v>
      </c>
      <c r="AP152" t="s">
        <v>208</v>
      </c>
      <c r="AQ152" t="s">
        <v>209</v>
      </c>
      <c r="AR152" t="s">
        <v>502</v>
      </c>
      <c r="AW152" t="s">
        <v>212</v>
      </c>
      <c r="AZ152" t="s">
        <v>209</v>
      </c>
      <c r="BI152" t="s">
        <v>212</v>
      </c>
      <c r="BJ152" t="s">
        <v>213</v>
      </c>
      <c r="BK152" t="s">
        <v>214</v>
      </c>
      <c r="BL152" t="s">
        <v>357</v>
      </c>
      <c r="BN152" t="s">
        <v>281</v>
      </c>
      <c r="BO152" t="s">
        <v>209</v>
      </c>
      <c r="BP152" t="s">
        <v>241</v>
      </c>
      <c r="BQ152">
        <v>5</v>
      </c>
      <c r="BS152" t="s">
        <v>220</v>
      </c>
      <c r="BU152" t="s">
        <v>212</v>
      </c>
      <c r="BZ152" t="s">
        <v>623</v>
      </c>
      <c r="CA152" t="s">
        <v>287</v>
      </c>
      <c r="CC152" t="s">
        <v>222</v>
      </c>
      <c r="CD152" t="s">
        <v>223</v>
      </c>
      <c r="CE152" t="s">
        <v>242</v>
      </c>
      <c r="CJ152" t="s">
        <v>206</v>
      </c>
      <c r="CK152" t="s">
        <v>230</v>
      </c>
      <c r="CL152" t="s">
        <v>231</v>
      </c>
      <c r="CM152" t="s">
        <v>232</v>
      </c>
      <c r="CN152" t="s">
        <v>233</v>
      </c>
      <c r="CP152" t="s">
        <v>212</v>
      </c>
      <c r="CQ152" t="s">
        <v>212</v>
      </c>
      <c r="CR152" t="s">
        <v>212</v>
      </c>
      <c r="CS152" t="s">
        <v>212</v>
      </c>
      <c r="CY152" t="s">
        <v>212</v>
      </c>
      <c r="DB152" t="s">
        <v>234</v>
      </c>
      <c r="DE152" t="s">
        <v>212</v>
      </c>
      <c r="DF152" t="s">
        <v>212</v>
      </c>
      <c r="DG152" t="s">
        <v>235</v>
      </c>
      <c r="DH152" t="s">
        <v>212</v>
      </c>
      <c r="DJ152" t="s">
        <v>236</v>
      </c>
      <c r="DM152" t="s">
        <v>212</v>
      </c>
    </row>
    <row r="153" spans="1:184" x14ac:dyDescent="0.3">
      <c r="A153">
        <v>21222609</v>
      </c>
      <c r="B153">
        <v>12025665</v>
      </c>
      <c r="C153" t="str">
        <f>"151005503116"</f>
        <v>151005503116</v>
      </c>
      <c r="D153" t="s">
        <v>742</v>
      </c>
      <c r="E153" t="s">
        <v>743</v>
      </c>
      <c r="F153" t="s">
        <v>744</v>
      </c>
      <c r="G153" s="1">
        <v>42282</v>
      </c>
      <c r="I153" t="s">
        <v>240</v>
      </c>
      <c r="J153" t="s">
        <v>200</v>
      </c>
      <c r="K153" t="s">
        <v>201</v>
      </c>
      <c r="R153" t="str">
        <f>"КАЗАХСТАН, АКМОЛИНСКАЯ, СТЕПНОГОРСК, 39, 43"</f>
        <v>КАЗАХСТАН, АКМОЛИНСКАЯ, СТЕПНОГОРСК, 39, 43</v>
      </c>
      <c r="S153" t="str">
        <f>"ҚАЗАҚСТАН, АҚМОЛА, СТЕПНОГОР, 39, 43"</f>
        <v>ҚАЗАҚСТАН, АҚМОЛА, СТЕПНОГОР, 39, 43</v>
      </c>
      <c r="T153" t="str">
        <f>"39, 43"</f>
        <v>39, 43</v>
      </c>
      <c r="U153" t="str">
        <f>"39, 43"</f>
        <v>39, 43</v>
      </c>
      <c r="AC153" t="str">
        <f>"2021-08-25T00:00:00"</f>
        <v>2021-08-25T00:00:00</v>
      </c>
      <c r="AD153" t="str">
        <f>"1"</f>
        <v>1</v>
      </c>
      <c r="AE153" t="str">
        <f>"2023-09-01T22:51:47"</f>
        <v>2023-09-01T22:51:47</v>
      </c>
      <c r="AF153" t="str">
        <f>"2024-05-25T22:51:47"</f>
        <v>2024-05-25T22:51:47</v>
      </c>
      <c r="AG153" t="s">
        <v>202</v>
      </c>
      <c r="AI153" t="s">
        <v>299</v>
      </c>
      <c r="AJ153" t="s">
        <v>570</v>
      </c>
      <c r="AK153" t="s">
        <v>253</v>
      </c>
      <c r="AL153" t="s">
        <v>206</v>
      </c>
      <c r="AN153" t="s">
        <v>254</v>
      </c>
      <c r="AO153">
        <v>2</v>
      </c>
      <c r="AP153" t="s">
        <v>208</v>
      </c>
      <c r="AQ153" t="s">
        <v>209</v>
      </c>
      <c r="AR153" t="s">
        <v>502</v>
      </c>
      <c r="AW153" t="s">
        <v>212</v>
      </c>
      <c r="AZ153" t="s">
        <v>209</v>
      </c>
      <c r="BI153" t="s">
        <v>212</v>
      </c>
      <c r="BJ153" t="s">
        <v>213</v>
      </c>
      <c r="BK153" t="s">
        <v>214</v>
      </c>
      <c r="BL153" t="s">
        <v>357</v>
      </c>
      <c r="BN153" t="s">
        <v>216</v>
      </c>
      <c r="BO153" t="s">
        <v>209</v>
      </c>
      <c r="BP153" t="s">
        <v>241</v>
      </c>
      <c r="BQ153">
        <v>4</v>
      </c>
      <c r="BS153" t="s">
        <v>220</v>
      </c>
      <c r="BU153" t="s">
        <v>212</v>
      </c>
      <c r="BZ153" t="s">
        <v>623</v>
      </c>
      <c r="CA153" t="s">
        <v>287</v>
      </c>
      <c r="CC153" t="s">
        <v>222</v>
      </c>
      <c r="CD153" t="s">
        <v>223</v>
      </c>
      <c r="CE153" t="s">
        <v>242</v>
      </c>
      <c r="CJ153" t="s">
        <v>206</v>
      </c>
      <c r="CK153" t="s">
        <v>230</v>
      </c>
      <c r="CL153" t="s">
        <v>231</v>
      </c>
      <c r="CM153" t="s">
        <v>232</v>
      </c>
      <c r="CN153" t="s">
        <v>233</v>
      </c>
      <c r="CP153" t="s">
        <v>212</v>
      </c>
      <c r="CQ153" t="s">
        <v>212</v>
      </c>
      <c r="CR153" t="s">
        <v>212</v>
      </c>
      <c r="CS153" t="s">
        <v>212</v>
      </c>
      <c r="CY153" t="s">
        <v>212</v>
      </c>
      <c r="DB153" t="s">
        <v>234</v>
      </c>
      <c r="DE153" t="s">
        <v>212</v>
      </c>
      <c r="DF153" t="s">
        <v>212</v>
      </c>
      <c r="DG153" t="s">
        <v>235</v>
      </c>
      <c r="DH153" t="s">
        <v>212</v>
      </c>
      <c r="DJ153" t="s">
        <v>421</v>
      </c>
      <c r="DK153" t="s">
        <v>422</v>
      </c>
      <c r="DL153" t="s">
        <v>423</v>
      </c>
      <c r="DM153" t="s">
        <v>206</v>
      </c>
    </row>
    <row r="154" spans="1:184" x14ac:dyDescent="0.3">
      <c r="A154">
        <v>22755718</v>
      </c>
      <c r="B154">
        <v>838428</v>
      </c>
      <c r="C154" t="str">
        <f>"130405603041"</f>
        <v>130405603041</v>
      </c>
      <c r="D154" t="s">
        <v>745</v>
      </c>
      <c r="E154" t="s">
        <v>746</v>
      </c>
      <c r="F154" t="s">
        <v>747</v>
      </c>
      <c r="G154" s="1">
        <v>41369</v>
      </c>
      <c r="I154" t="s">
        <v>199</v>
      </c>
      <c r="J154" t="s">
        <v>200</v>
      </c>
      <c r="K154" t="s">
        <v>201</v>
      </c>
      <c r="Q154" t="s">
        <v>212</v>
      </c>
      <c r="R154" t="str">
        <f>"КАЗАХСТАН, АКМОЛИНСКАЯ, СТЕПНОГОРСК, 15, 248"</f>
        <v>КАЗАХСТАН, АКМОЛИНСКАЯ, СТЕПНОГОРСК, 15, 248</v>
      </c>
      <c r="S154" t="str">
        <f>"ҚАЗАҚСТАН, АҚМОЛА, СТЕПНОГОР, 15, 248"</f>
        <v>ҚАЗАҚСТАН, АҚМОЛА, СТЕПНОГОР, 15, 248</v>
      </c>
      <c r="T154" t="str">
        <f>"15, 248"</f>
        <v>15, 248</v>
      </c>
      <c r="U154" t="str">
        <f>"15, 248"</f>
        <v>15, 248</v>
      </c>
      <c r="AC154" t="str">
        <f>"2022-08-10T00:00:00"</f>
        <v>2022-08-10T00:00:00</v>
      </c>
      <c r="AD154" t="str">
        <f>"94/1"</f>
        <v>94/1</v>
      </c>
      <c r="AG154" t="s">
        <v>202</v>
      </c>
      <c r="AI154" t="s">
        <v>299</v>
      </c>
      <c r="AJ154" t="s">
        <v>419</v>
      </c>
      <c r="AK154" t="s">
        <v>261</v>
      </c>
      <c r="AL154" t="s">
        <v>206</v>
      </c>
      <c r="AN154" t="s">
        <v>207</v>
      </c>
      <c r="AO154">
        <v>1</v>
      </c>
      <c r="AP154" t="s">
        <v>208</v>
      </c>
      <c r="AQ154" t="s">
        <v>209</v>
      </c>
      <c r="AR154" t="s">
        <v>307</v>
      </c>
      <c r="AW154" t="s">
        <v>206</v>
      </c>
      <c r="AX154" t="s">
        <v>211</v>
      </c>
      <c r="AZ154" t="s">
        <v>209</v>
      </c>
      <c r="BI154" t="s">
        <v>212</v>
      </c>
      <c r="BJ154" t="s">
        <v>213</v>
      </c>
      <c r="BK154" t="s">
        <v>214</v>
      </c>
      <c r="BL154" t="s">
        <v>215</v>
      </c>
      <c r="BN154" t="s">
        <v>281</v>
      </c>
      <c r="BO154" t="s">
        <v>209</v>
      </c>
      <c r="BP154" t="s">
        <v>415</v>
      </c>
      <c r="BQ154" t="s">
        <v>493</v>
      </c>
      <c r="BS154" t="s">
        <v>219</v>
      </c>
      <c r="BT154" t="s">
        <v>220</v>
      </c>
      <c r="BU154" t="s">
        <v>206</v>
      </c>
      <c r="CA154" t="s">
        <v>287</v>
      </c>
      <c r="CC154" t="s">
        <v>222</v>
      </c>
      <c r="CD154" t="s">
        <v>223</v>
      </c>
      <c r="CE154" t="s">
        <v>242</v>
      </c>
      <c r="CJ154" t="s">
        <v>206</v>
      </c>
      <c r="CK154" t="s">
        <v>230</v>
      </c>
      <c r="CL154" t="s">
        <v>231</v>
      </c>
      <c r="CM154" t="s">
        <v>232</v>
      </c>
      <c r="CN154" t="s">
        <v>233</v>
      </c>
      <c r="CP154" t="s">
        <v>212</v>
      </c>
      <c r="CQ154" t="s">
        <v>212</v>
      </c>
      <c r="CR154" t="s">
        <v>212</v>
      </c>
      <c r="CS154" t="s">
        <v>212</v>
      </c>
      <c r="CY154" t="s">
        <v>212</v>
      </c>
      <c r="DB154" t="s">
        <v>234</v>
      </c>
      <c r="DE154" t="s">
        <v>212</v>
      </c>
      <c r="DF154" t="s">
        <v>212</v>
      </c>
      <c r="DG154" t="s">
        <v>235</v>
      </c>
      <c r="DH154" t="s">
        <v>212</v>
      </c>
      <c r="DJ154" t="s">
        <v>236</v>
      </c>
      <c r="DM154" t="s">
        <v>212</v>
      </c>
    </row>
    <row r="155" spans="1:184" x14ac:dyDescent="0.3">
      <c r="A155">
        <v>21222442</v>
      </c>
      <c r="B155">
        <v>863682</v>
      </c>
      <c r="C155" t="str">
        <f>"160319600283"</f>
        <v>160319600283</v>
      </c>
      <c r="D155" t="s">
        <v>748</v>
      </c>
      <c r="E155" t="s">
        <v>749</v>
      </c>
      <c r="F155" t="s">
        <v>750</v>
      </c>
      <c r="G155" s="1">
        <v>42448</v>
      </c>
      <c r="I155" t="s">
        <v>199</v>
      </c>
      <c r="J155" t="s">
        <v>200</v>
      </c>
      <c r="K155" t="s">
        <v>201</v>
      </c>
      <c r="Q155" t="s">
        <v>212</v>
      </c>
      <c r="R155" t="str">
        <f>"КАЗАХСТАН, АКМОЛИНСКАЯ, СТЕПНОГОРСК, 16, 71"</f>
        <v>КАЗАХСТАН, АКМОЛИНСКАЯ, СТЕПНОГОРСК, 16, 71</v>
      </c>
      <c r="S155" t="str">
        <f>"ҚАЗАҚСТАН, АҚМОЛА, СТЕПНОГОР, 16, 71"</f>
        <v>ҚАЗАҚСТАН, АҚМОЛА, СТЕПНОГОР, 16, 71</v>
      </c>
      <c r="T155" t="str">
        <f>"16, 71"</f>
        <v>16, 71</v>
      </c>
      <c r="U155" t="str">
        <f>"16, 71"</f>
        <v>16, 71</v>
      </c>
      <c r="AC155" t="str">
        <f>"2023-09-06T00:00:00"</f>
        <v>2023-09-06T00:00:00</v>
      </c>
      <c r="AD155" t="str">
        <f>"74\\1"</f>
        <v>74\\1</v>
      </c>
      <c r="AE155" t="str">
        <f>"2023-09-01T17:39:26"</f>
        <v>2023-09-01T17:39:26</v>
      </c>
      <c r="AF155" t="str">
        <f>"2024-05-25T17:39:26"</f>
        <v>2024-05-25T17:39:26</v>
      </c>
      <c r="AG155" t="s">
        <v>202</v>
      </c>
      <c r="AI155" t="s">
        <v>299</v>
      </c>
      <c r="AJ155" t="s">
        <v>660</v>
      </c>
      <c r="AK155" t="s">
        <v>205</v>
      </c>
      <c r="AL155" t="s">
        <v>206</v>
      </c>
      <c r="AN155" t="s">
        <v>207</v>
      </c>
      <c r="AO155">
        <v>1</v>
      </c>
      <c r="AP155" t="s">
        <v>208</v>
      </c>
      <c r="AQ155" t="s">
        <v>209</v>
      </c>
      <c r="AR155" t="s">
        <v>502</v>
      </c>
      <c r="AW155" t="s">
        <v>212</v>
      </c>
      <c r="AZ155" t="s">
        <v>209</v>
      </c>
      <c r="BI155" t="s">
        <v>212</v>
      </c>
      <c r="BJ155" t="s">
        <v>213</v>
      </c>
      <c r="BK155" t="s">
        <v>214</v>
      </c>
      <c r="BL155" t="s">
        <v>357</v>
      </c>
      <c r="BN155" t="s">
        <v>661</v>
      </c>
      <c r="BO155" t="s">
        <v>209</v>
      </c>
      <c r="BS155" t="s">
        <v>220</v>
      </c>
      <c r="BU155" t="s">
        <v>212</v>
      </c>
      <c r="BZ155" t="s">
        <v>662</v>
      </c>
      <c r="CA155" t="s">
        <v>287</v>
      </c>
      <c r="CC155" t="s">
        <v>224</v>
      </c>
      <c r="CD155" t="s">
        <v>349</v>
      </c>
      <c r="CE155" t="s">
        <v>242</v>
      </c>
      <c r="CJ155" t="s">
        <v>206</v>
      </c>
      <c r="CK155" t="s">
        <v>230</v>
      </c>
      <c r="CL155" t="s">
        <v>231</v>
      </c>
      <c r="CM155" t="s">
        <v>232</v>
      </c>
      <c r="CN155" t="s">
        <v>233</v>
      </c>
      <c r="CP155" t="s">
        <v>212</v>
      </c>
      <c r="CQ155" t="s">
        <v>212</v>
      </c>
      <c r="CR155" t="s">
        <v>212</v>
      </c>
      <c r="CS155" t="s">
        <v>212</v>
      </c>
      <c r="CY155" t="s">
        <v>212</v>
      </c>
      <c r="DB155" t="s">
        <v>653</v>
      </c>
      <c r="DC155" t="str">
        <f>"№338 Трудности формирование  чтения  и письма. Общее недоразвитие речи  3 уровня"</f>
        <v>№338 Трудности формирование  чтения  и письма. Общее недоразвитие речи  3 уровня</v>
      </c>
      <c r="DD155" t="str">
        <f>"2023-04-25T00:00:00"</f>
        <v>2023-04-25T00:00:00</v>
      </c>
      <c r="DE155" t="s">
        <v>212</v>
      </c>
      <c r="DF155" t="s">
        <v>206</v>
      </c>
      <c r="DG155" t="s">
        <v>235</v>
      </c>
      <c r="DH155" t="s">
        <v>212</v>
      </c>
      <c r="DJ155" t="s">
        <v>236</v>
      </c>
      <c r="DM155" t="s">
        <v>206</v>
      </c>
    </row>
    <row r="156" spans="1:184" x14ac:dyDescent="0.3">
      <c r="A156">
        <v>22809121</v>
      </c>
      <c r="B156">
        <v>98151</v>
      </c>
      <c r="C156" t="str">
        <f>"090723650419"</f>
        <v>090723650419</v>
      </c>
      <c r="D156" t="s">
        <v>751</v>
      </c>
      <c r="E156" t="s">
        <v>752</v>
      </c>
      <c r="F156" t="s">
        <v>753</v>
      </c>
      <c r="G156" s="1">
        <v>40017</v>
      </c>
      <c r="I156" t="s">
        <v>199</v>
      </c>
      <c r="J156" t="s">
        <v>200</v>
      </c>
      <c r="K156" t="s">
        <v>201</v>
      </c>
      <c r="R156" t="str">
        <f>"АНДОРРА, АКМОЛИНСКАЯ, СТЕПНОГОРСК, 38, 12"</f>
        <v>АНДОРРА, АКМОЛИНСКАЯ, СТЕПНОГОРСК, 38, 12</v>
      </c>
      <c r="S156" t="str">
        <f>"АНДОРРА, АҚМОЛА, СТЕПНОГОР, 38, 12"</f>
        <v>АНДОРРА, АҚМОЛА, СТЕПНОГОР, 38, 12</v>
      </c>
      <c r="T156" t="str">
        <f>"38, 12"</f>
        <v>38, 12</v>
      </c>
      <c r="U156" t="str">
        <f>"38, 12"</f>
        <v>38, 12</v>
      </c>
      <c r="AC156" t="str">
        <f>"2022-08-25T00:00:00"</f>
        <v>2022-08-25T00:00:00</v>
      </c>
      <c r="AD156" t="str">
        <f>"117"</f>
        <v>117</v>
      </c>
      <c r="AG156" t="s">
        <v>333</v>
      </c>
      <c r="AH156" t="str">
        <f>"ckool007@mail.ru"</f>
        <v>ckool007@mail.ru</v>
      </c>
      <c r="AI156" t="s">
        <v>299</v>
      </c>
      <c r="AJ156" t="s">
        <v>286</v>
      </c>
      <c r="AK156" t="s">
        <v>246</v>
      </c>
      <c r="AL156" t="s">
        <v>206</v>
      </c>
      <c r="AN156" t="s">
        <v>207</v>
      </c>
      <c r="AO156">
        <v>1</v>
      </c>
      <c r="AP156" t="s">
        <v>208</v>
      </c>
      <c r="AQ156" t="s">
        <v>209</v>
      </c>
      <c r="AR156" t="s">
        <v>210</v>
      </c>
      <c r="AW156" t="s">
        <v>206</v>
      </c>
      <c r="AX156" t="s">
        <v>211</v>
      </c>
      <c r="AZ156" t="s">
        <v>209</v>
      </c>
      <c r="BI156" t="s">
        <v>212</v>
      </c>
      <c r="BJ156" t="s">
        <v>213</v>
      </c>
      <c r="BK156" t="s">
        <v>214</v>
      </c>
      <c r="BL156" t="s">
        <v>215</v>
      </c>
      <c r="BN156" t="s">
        <v>216</v>
      </c>
      <c r="BO156" t="s">
        <v>209</v>
      </c>
      <c r="BP156" t="s">
        <v>241</v>
      </c>
      <c r="BQ156">
        <v>4</v>
      </c>
      <c r="BS156" t="s">
        <v>219</v>
      </c>
      <c r="BT156" t="s">
        <v>220</v>
      </c>
      <c r="BU156" t="s">
        <v>206</v>
      </c>
      <c r="CA156" t="s">
        <v>263</v>
      </c>
      <c r="CB156" t="s">
        <v>223</v>
      </c>
      <c r="CC156" t="s">
        <v>209</v>
      </c>
      <c r="CE156" t="s">
        <v>242</v>
      </c>
      <c r="CJ156" t="s">
        <v>206</v>
      </c>
      <c r="CK156" t="s">
        <v>291</v>
      </c>
      <c r="CM156" t="s">
        <v>292</v>
      </c>
      <c r="CN156" t="s">
        <v>233</v>
      </c>
      <c r="CP156" t="s">
        <v>212</v>
      </c>
      <c r="CQ156" t="s">
        <v>212</v>
      </c>
      <c r="CR156" t="s">
        <v>212</v>
      </c>
      <c r="CS156" t="s">
        <v>212</v>
      </c>
      <c r="CY156" t="s">
        <v>212</v>
      </c>
      <c r="DB156" t="s">
        <v>234</v>
      </c>
      <c r="DE156" t="s">
        <v>212</v>
      </c>
      <c r="DF156" t="s">
        <v>212</v>
      </c>
      <c r="DG156" t="s">
        <v>235</v>
      </c>
      <c r="DH156" t="s">
        <v>212</v>
      </c>
      <c r="DJ156" t="s">
        <v>236</v>
      </c>
      <c r="DM156" t="s">
        <v>206</v>
      </c>
    </row>
    <row r="157" spans="1:184" x14ac:dyDescent="0.3">
      <c r="A157">
        <v>21222235</v>
      </c>
      <c r="B157">
        <v>12025610</v>
      </c>
      <c r="C157" t="str">
        <f>"151204050049"</f>
        <v>151204050049</v>
      </c>
      <c r="D157" t="s">
        <v>754</v>
      </c>
      <c r="E157" t="s">
        <v>755</v>
      </c>
      <c r="F157" t="s">
        <v>756</v>
      </c>
      <c r="G157" s="1">
        <v>42342</v>
      </c>
      <c r="I157" t="s">
        <v>240</v>
      </c>
      <c r="J157" t="s">
        <v>757</v>
      </c>
      <c r="K157" t="s">
        <v>201</v>
      </c>
      <c r="L157" t="s">
        <v>212</v>
      </c>
      <c r="Q157" t="s">
        <v>206</v>
      </c>
      <c r="R157" t="str">
        <f>"-"</f>
        <v>-</v>
      </c>
      <c r="S157" t="str">
        <f>"-"</f>
        <v>-</v>
      </c>
      <c r="T157" t="str">
        <f>"-"</f>
        <v>-</v>
      </c>
      <c r="U157" t="str">
        <f>"-"</f>
        <v>-</v>
      </c>
      <c r="AC157" t="str">
        <f>"2021-08-25T00:00:00"</f>
        <v>2021-08-25T00:00:00</v>
      </c>
      <c r="AD157" t="str">
        <f>"1"</f>
        <v>1</v>
      </c>
      <c r="AE157" t="str">
        <f>"2023-09-01T22:47:49"</f>
        <v>2023-09-01T22:47:49</v>
      </c>
      <c r="AF157" t="str">
        <f>"2024-05-25T22:47:49"</f>
        <v>2024-05-25T22:47:49</v>
      </c>
      <c r="AG157" t="s">
        <v>202</v>
      </c>
      <c r="AI157" t="s">
        <v>269</v>
      </c>
      <c r="AJ157" t="s">
        <v>570</v>
      </c>
      <c r="AK157" t="s">
        <v>434</v>
      </c>
      <c r="AL157" t="s">
        <v>206</v>
      </c>
      <c r="AN157" t="s">
        <v>254</v>
      </c>
      <c r="AO157">
        <v>2</v>
      </c>
      <c r="AP157" t="s">
        <v>208</v>
      </c>
      <c r="AQ157" t="s">
        <v>209</v>
      </c>
      <c r="AR157" t="s">
        <v>502</v>
      </c>
      <c r="AW157" t="s">
        <v>212</v>
      </c>
      <c r="AZ157" t="s">
        <v>209</v>
      </c>
      <c r="BI157" t="s">
        <v>212</v>
      </c>
      <c r="BJ157" t="s">
        <v>213</v>
      </c>
      <c r="BK157" t="s">
        <v>214</v>
      </c>
      <c r="BL157" t="s">
        <v>357</v>
      </c>
      <c r="BN157" t="s">
        <v>216</v>
      </c>
      <c r="BO157" t="s">
        <v>209</v>
      </c>
      <c r="BP157" t="s">
        <v>241</v>
      </c>
      <c r="BQ157">
        <v>4</v>
      </c>
      <c r="BS157" t="s">
        <v>220</v>
      </c>
      <c r="BU157" t="s">
        <v>212</v>
      </c>
      <c r="BX157" t="s">
        <v>221</v>
      </c>
      <c r="BY157" t="s">
        <v>221</v>
      </c>
      <c r="BZ157" t="s">
        <v>571</v>
      </c>
      <c r="CA157" t="s">
        <v>287</v>
      </c>
      <c r="CC157" t="s">
        <v>222</v>
      </c>
      <c r="CD157" t="s">
        <v>223</v>
      </c>
      <c r="CE157" t="s">
        <v>342</v>
      </c>
      <c r="CF157" t="s">
        <v>610</v>
      </c>
      <c r="CG157" t="s">
        <v>343</v>
      </c>
      <c r="CH157" t="s">
        <v>627</v>
      </c>
      <c r="CI157" t="s">
        <v>628</v>
      </c>
      <c r="CJ157" t="s">
        <v>206</v>
      </c>
      <c r="CK157" t="s">
        <v>230</v>
      </c>
      <c r="CL157" t="s">
        <v>231</v>
      </c>
      <c r="CM157" t="s">
        <v>232</v>
      </c>
      <c r="CN157" t="s">
        <v>233</v>
      </c>
      <c r="CP157" t="s">
        <v>212</v>
      </c>
      <c r="CQ157" t="s">
        <v>212</v>
      </c>
      <c r="CR157" t="s">
        <v>212</v>
      </c>
      <c r="CS157" t="s">
        <v>212</v>
      </c>
      <c r="CY157" t="s">
        <v>212</v>
      </c>
      <c r="DB157" t="s">
        <v>234</v>
      </c>
      <c r="DE157" t="s">
        <v>212</v>
      </c>
      <c r="DF157" t="s">
        <v>212</v>
      </c>
      <c r="DG157" t="s">
        <v>235</v>
      </c>
      <c r="DH157" t="s">
        <v>212</v>
      </c>
      <c r="DJ157" t="s">
        <v>236</v>
      </c>
      <c r="DM157" t="s">
        <v>206</v>
      </c>
      <c r="GB157" t="s">
        <v>206</v>
      </c>
    </row>
    <row r="158" spans="1:184" x14ac:dyDescent="0.3">
      <c r="A158">
        <v>22825000</v>
      </c>
      <c r="B158">
        <v>772047</v>
      </c>
      <c r="C158" t="str">
        <f>"151204504413"</f>
        <v>151204504413</v>
      </c>
      <c r="D158" t="s">
        <v>758</v>
      </c>
      <c r="E158" t="s">
        <v>685</v>
      </c>
      <c r="F158" t="s">
        <v>615</v>
      </c>
      <c r="G158" s="1">
        <v>42342</v>
      </c>
      <c r="I158" t="s">
        <v>240</v>
      </c>
      <c r="J158" t="s">
        <v>200</v>
      </c>
      <c r="K158" t="s">
        <v>201</v>
      </c>
      <c r="Q158" t="s">
        <v>212</v>
      </c>
      <c r="R158" t="str">
        <f>"КАЗАХСТАН, АКМОЛИНСКАЯ, СТЕПНОГОРСК, 42, 33"</f>
        <v>КАЗАХСТАН, АКМОЛИНСКАЯ, СТЕПНОГОРСК, 42, 33</v>
      </c>
      <c r="S158" t="str">
        <f>"ҚАЗАҚСТАН, АҚМОЛА, СТЕПНОГОР, 42, 33"</f>
        <v>ҚАЗАҚСТАН, АҚМОЛА, СТЕПНОГОР, 42, 33</v>
      </c>
      <c r="T158" t="str">
        <f>"42, 33"</f>
        <v>42, 33</v>
      </c>
      <c r="U158" t="str">
        <f>"42, 33"</f>
        <v>42, 33</v>
      </c>
      <c r="AC158" t="str">
        <f>"2022-08-25T00:00:00"</f>
        <v>2022-08-25T00:00:00</v>
      </c>
      <c r="AD158" t="str">
        <f>"120"</f>
        <v>120</v>
      </c>
      <c r="AG158" t="s">
        <v>202</v>
      </c>
      <c r="AI158" t="s">
        <v>299</v>
      </c>
      <c r="AJ158" t="s">
        <v>570</v>
      </c>
      <c r="AK158" t="s">
        <v>246</v>
      </c>
      <c r="AL158" t="s">
        <v>206</v>
      </c>
      <c r="AN158" t="s">
        <v>207</v>
      </c>
      <c r="AO158">
        <v>1</v>
      </c>
      <c r="AP158" t="s">
        <v>208</v>
      </c>
      <c r="AQ158" t="s">
        <v>209</v>
      </c>
      <c r="AR158" t="s">
        <v>210</v>
      </c>
      <c r="AW158" t="s">
        <v>212</v>
      </c>
      <c r="AZ158" t="s">
        <v>209</v>
      </c>
      <c r="BI158" t="s">
        <v>212</v>
      </c>
      <c r="BJ158" t="s">
        <v>213</v>
      </c>
      <c r="BK158" t="s">
        <v>214</v>
      </c>
      <c r="BL158" t="s">
        <v>357</v>
      </c>
      <c r="BN158" t="s">
        <v>216</v>
      </c>
      <c r="BO158" t="s">
        <v>209</v>
      </c>
      <c r="BP158" t="s">
        <v>241</v>
      </c>
      <c r="BQ158">
        <v>4</v>
      </c>
      <c r="BS158" t="s">
        <v>220</v>
      </c>
      <c r="BU158" t="s">
        <v>212</v>
      </c>
      <c r="BZ158" t="s">
        <v>571</v>
      </c>
      <c r="CA158" t="s">
        <v>287</v>
      </c>
      <c r="CC158" t="s">
        <v>222</v>
      </c>
      <c r="CD158" t="s">
        <v>223</v>
      </c>
      <c r="CE158" t="s">
        <v>242</v>
      </c>
      <c r="CJ158" t="s">
        <v>206</v>
      </c>
      <c r="CK158" t="s">
        <v>230</v>
      </c>
      <c r="CL158" t="s">
        <v>231</v>
      </c>
      <c r="CM158" t="s">
        <v>232</v>
      </c>
      <c r="CN158" t="s">
        <v>233</v>
      </c>
      <c r="CP158" t="s">
        <v>212</v>
      </c>
      <c r="CQ158" t="s">
        <v>212</v>
      </c>
      <c r="CR158" t="s">
        <v>212</v>
      </c>
      <c r="CS158" t="s">
        <v>212</v>
      </c>
      <c r="CY158" t="s">
        <v>212</v>
      </c>
      <c r="DB158" t="s">
        <v>234</v>
      </c>
      <c r="DE158" t="s">
        <v>212</v>
      </c>
      <c r="DF158" t="s">
        <v>212</v>
      </c>
      <c r="DG158" t="s">
        <v>235</v>
      </c>
      <c r="DH158" t="s">
        <v>212</v>
      </c>
      <c r="DJ158" t="s">
        <v>236</v>
      </c>
      <c r="DM158" t="s">
        <v>212</v>
      </c>
    </row>
    <row r="159" spans="1:184" x14ac:dyDescent="0.3">
      <c r="A159">
        <v>21222089</v>
      </c>
      <c r="B159">
        <v>8922946</v>
      </c>
      <c r="C159" t="str">
        <f>"150716605736"</f>
        <v>150716605736</v>
      </c>
      <c r="D159" t="s">
        <v>759</v>
      </c>
      <c r="E159" t="s">
        <v>760</v>
      </c>
      <c r="F159" t="s">
        <v>761</v>
      </c>
      <c r="G159" s="1">
        <v>42201</v>
      </c>
      <c r="I159" t="s">
        <v>199</v>
      </c>
      <c r="J159" t="s">
        <v>200</v>
      </c>
      <c r="K159" t="s">
        <v>369</v>
      </c>
      <c r="R159" t="str">
        <f>"КАЗАХСТАН, АКМОЛИНСКАЯ, СТЕПНОГОРСК, Бестобе, 14, 24"</f>
        <v>КАЗАХСТАН, АКМОЛИНСКАЯ, СТЕПНОГОРСК, Бестобе, 14, 24</v>
      </c>
      <c r="S159" t="str">
        <f>"ҚАЗАҚСТАН, АҚМОЛА, СТЕПНОГОР, Бестобе, 14, 24"</f>
        <v>ҚАЗАҚСТАН, АҚМОЛА, СТЕПНОГОР, Бестобе, 14, 24</v>
      </c>
      <c r="T159" t="str">
        <f>"Бестобе, 14, 24"</f>
        <v>Бестобе, 14, 24</v>
      </c>
      <c r="U159" t="str">
        <f>"Бестобе, 14, 24"</f>
        <v>Бестобе, 14, 24</v>
      </c>
      <c r="AC159" t="str">
        <f>"2021-08-25T00:00:00"</f>
        <v>2021-08-25T00:00:00</v>
      </c>
      <c r="AD159" t="str">
        <f>"1"</f>
        <v>1</v>
      </c>
      <c r="AG159" t="s">
        <v>202</v>
      </c>
      <c r="AI159" t="s">
        <v>274</v>
      </c>
      <c r="AJ159" t="s">
        <v>570</v>
      </c>
      <c r="AK159" t="s">
        <v>434</v>
      </c>
      <c r="AL159" t="s">
        <v>206</v>
      </c>
      <c r="AN159" t="s">
        <v>254</v>
      </c>
      <c r="AO159">
        <v>2</v>
      </c>
      <c r="AP159" t="s">
        <v>208</v>
      </c>
      <c r="AQ159" t="s">
        <v>209</v>
      </c>
      <c r="AR159" t="s">
        <v>502</v>
      </c>
      <c r="AW159" t="s">
        <v>212</v>
      </c>
      <c r="AZ159" t="s">
        <v>209</v>
      </c>
      <c r="BI159" t="s">
        <v>212</v>
      </c>
      <c r="BJ159" t="s">
        <v>213</v>
      </c>
      <c r="BK159" t="s">
        <v>214</v>
      </c>
      <c r="BL159" t="s">
        <v>357</v>
      </c>
      <c r="BN159" t="s">
        <v>216</v>
      </c>
      <c r="BO159" t="s">
        <v>209</v>
      </c>
      <c r="BP159" t="s">
        <v>241</v>
      </c>
      <c r="BQ159">
        <v>4</v>
      </c>
      <c r="BS159" t="s">
        <v>220</v>
      </c>
      <c r="BU159" t="s">
        <v>212</v>
      </c>
      <c r="BX159" t="s">
        <v>234</v>
      </c>
      <c r="BY159" t="s">
        <v>234</v>
      </c>
      <c r="BZ159" t="s">
        <v>571</v>
      </c>
      <c r="CA159" t="s">
        <v>287</v>
      </c>
      <c r="CC159" t="s">
        <v>224</v>
      </c>
      <c r="CD159" t="s">
        <v>223</v>
      </c>
      <c r="CE159" t="s">
        <v>762</v>
      </c>
      <c r="CF159" t="s">
        <v>763</v>
      </c>
      <c r="CG159" t="s">
        <v>764</v>
      </c>
      <c r="CH159" t="s">
        <v>566</v>
      </c>
      <c r="CI159" t="s">
        <v>765</v>
      </c>
      <c r="CJ159" t="s">
        <v>206</v>
      </c>
      <c r="CK159" t="s">
        <v>230</v>
      </c>
      <c r="CL159" t="s">
        <v>231</v>
      </c>
      <c r="CM159" t="s">
        <v>232</v>
      </c>
      <c r="CN159" t="s">
        <v>233</v>
      </c>
      <c r="CP159" t="s">
        <v>212</v>
      </c>
      <c r="CQ159" t="s">
        <v>212</v>
      </c>
      <c r="CR159" t="s">
        <v>212</v>
      </c>
      <c r="CS159" t="s">
        <v>212</v>
      </c>
      <c r="CY159" t="s">
        <v>212</v>
      </c>
      <c r="DB159" t="s">
        <v>234</v>
      </c>
      <c r="DE159" t="s">
        <v>212</v>
      </c>
      <c r="DF159" t="s">
        <v>212</v>
      </c>
      <c r="DG159" t="s">
        <v>235</v>
      </c>
      <c r="DH159" t="s">
        <v>212</v>
      </c>
      <c r="DJ159" t="s">
        <v>236</v>
      </c>
      <c r="DM159" t="s">
        <v>212</v>
      </c>
    </row>
    <row r="160" spans="1:184" x14ac:dyDescent="0.3">
      <c r="A160">
        <v>21221893</v>
      </c>
      <c r="B160">
        <v>3760656</v>
      </c>
      <c r="C160" t="str">
        <f>"151213600016"</f>
        <v>151213600016</v>
      </c>
      <c r="D160" t="s">
        <v>766</v>
      </c>
      <c r="E160" t="s">
        <v>767</v>
      </c>
      <c r="F160" t="s">
        <v>768</v>
      </c>
      <c r="G160" s="1">
        <v>42351</v>
      </c>
      <c r="I160" t="s">
        <v>199</v>
      </c>
      <c r="J160" t="s">
        <v>200</v>
      </c>
      <c r="K160" t="s">
        <v>201</v>
      </c>
      <c r="R160" t="str">
        <f>"КАЗАХСТАН, ЖАМБЫЛСКАЯ, ТАРАЗ, 209, 43"</f>
        <v>КАЗАХСТАН, ЖАМБЫЛСКАЯ, ТАРАЗ, 209, 43</v>
      </c>
      <c r="S160" t="str">
        <f>"ҚАЗАҚСТАН, ЖАМБЫЛ, ТАРАЗ, 209, 43"</f>
        <v>ҚАЗАҚСТАН, ЖАМБЫЛ, ТАРАЗ, 209, 43</v>
      </c>
      <c r="T160" t="str">
        <f>"209, 43"</f>
        <v>209, 43</v>
      </c>
      <c r="U160" t="str">
        <f>"209, 43"</f>
        <v>209, 43</v>
      </c>
      <c r="AC160" t="str">
        <f>"2021-08-25T00:00:00"</f>
        <v>2021-08-25T00:00:00</v>
      </c>
      <c r="AD160" t="str">
        <f>"1"</f>
        <v>1</v>
      </c>
      <c r="AE160" t="str">
        <f>"2023-09-01T17:46:08"</f>
        <v>2023-09-01T17:46:08</v>
      </c>
      <c r="AF160" t="str">
        <f>"2024-05-25T17:46:08"</f>
        <v>2024-05-25T17:46:08</v>
      </c>
      <c r="AG160" t="s">
        <v>202</v>
      </c>
      <c r="AI160" t="s">
        <v>299</v>
      </c>
      <c r="AJ160" t="s">
        <v>570</v>
      </c>
      <c r="AK160" t="s">
        <v>253</v>
      </c>
      <c r="AL160" t="s">
        <v>206</v>
      </c>
      <c r="AN160" t="s">
        <v>254</v>
      </c>
      <c r="AO160">
        <v>2</v>
      </c>
      <c r="AP160" t="s">
        <v>208</v>
      </c>
      <c r="AQ160" t="s">
        <v>209</v>
      </c>
      <c r="AR160" t="s">
        <v>502</v>
      </c>
      <c r="AW160" t="s">
        <v>212</v>
      </c>
      <c r="AZ160" t="s">
        <v>209</v>
      </c>
      <c r="BI160" t="s">
        <v>212</v>
      </c>
      <c r="BJ160" t="s">
        <v>213</v>
      </c>
      <c r="BK160" t="s">
        <v>214</v>
      </c>
      <c r="BL160" t="s">
        <v>357</v>
      </c>
      <c r="BN160" t="s">
        <v>281</v>
      </c>
      <c r="BO160" t="s">
        <v>209</v>
      </c>
      <c r="BP160" t="s">
        <v>241</v>
      </c>
      <c r="BQ160">
        <v>5</v>
      </c>
      <c r="BS160" t="s">
        <v>220</v>
      </c>
      <c r="BU160" t="s">
        <v>212</v>
      </c>
      <c r="BZ160" t="s">
        <v>623</v>
      </c>
      <c r="CA160" t="s">
        <v>287</v>
      </c>
      <c r="CC160" t="s">
        <v>224</v>
      </c>
      <c r="CD160" t="s">
        <v>349</v>
      </c>
      <c r="CE160" t="s">
        <v>242</v>
      </c>
      <c r="CJ160" t="s">
        <v>206</v>
      </c>
      <c r="CK160" t="s">
        <v>230</v>
      </c>
      <c r="CL160" t="s">
        <v>231</v>
      </c>
      <c r="CM160" t="s">
        <v>232</v>
      </c>
      <c r="CN160" t="s">
        <v>233</v>
      </c>
      <c r="CP160" t="s">
        <v>212</v>
      </c>
      <c r="CQ160" t="s">
        <v>212</v>
      </c>
      <c r="CR160" t="s">
        <v>212</v>
      </c>
      <c r="CS160" t="s">
        <v>212</v>
      </c>
      <c r="CY160" t="s">
        <v>212</v>
      </c>
      <c r="DB160" t="s">
        <v>234</v>
      </c>
      <c r="DE160" t="s">
        <v>212</v>
      </c>
      <c r="DF160" t="s">
        <v>212</v>
      </c>
      <c r="DG160" t="s">
        <v>235</v>
      </c>
      <c r="DH160" t="s">
        <v>212</v>
      </c>
      <c r="DJ160" t="s">
        <v>236</v>
      </c>
      <c r="DM160" t="s">
        <v>212</v>
      </c>
    </row>
    <row r="161" spans="1:117" x14ac:dyDescent="0.3">
      <c r="A161">
        <v>21076353</v>
      </c>
      <c r="B161">
        <v>11711669</v>
      </c>
      <c r="C161" t="str">
        <f>"150506603480"</f>
        <v>150506603480</v>
      </c>
      <c r="D161" t="s">
        <v>769</v>
      </c>
      <c r="E161" t="s">
        <v>770</v>
      </c>
      <c r="F161" t="s">
        <v>771</v>
      </c>
      <c r="G161" s="1">
        <v>42130</v>
      </c>
      <c r="I161" t="s">
        <v>199</v>
      </c>
      <c r="J161" t="s">
        <v>200</v>
      </c>
      <c r="K161" t="s">
        <v>201</v>
      </c>
      <c r="R161" t="str">
        <f>"КАЗАХСТАН, АКМОЛИНСКАЯ, СТЕПНОГОРСК, Шантобе, 18, 2"</f>
        <v>КАЗАХСТАН, АКМОЛИНСКАЯ, СТЕПНОГОРСК, Шантобе, 18, 2</v>
      </c>
      <c r="S161" t="str">
        <f>"ҚАЗАҚСТАН, АҚМОЛА, СТЕПНОГОР, Шантобе, 18, 2"</f>
        <v>ҚАЗАҚСТАН, АҚМОЛА, СТЕПНОГОР, Шантобе, 18, 2</v>
      </c>
      <c r="T161" t="str">
        <f>"Шантобе, 18, 2"</f>
        <v>Шантобе, 18, 2</v>
      </c>
      <c r="U161" t="str">
        <f>"Шантобе, 18, 2"</f>
        <v>Шантобе, 18, 2</v>
      </c>
      <c r="AC161" t="str">
        <f>"2021-09-20T00:00:00"</f>
        <v>2021-09-20T00:00:00</v>
      </c>
      <c r="AD161" t="str">
        <f>"160"</f>
        <v>160</v>
      </c>
      <c r="AG161" t="s">
        <v>202</v>
      </c>
      <c r="AI161" t="s">
        <v>274</v>
      </c>
      <c r="AJ161" t="s">
        <v>540</v>
      </c>
      <c r="AK161" t="s">
        <v>253</v>
      </c>
      <c r="AL161" t="s">
        <v>206</v>
      </c>
      <c r="AN161" t="s">
        <v>254</v>
      </c>
      <c r="AO161">
        <v>2</v>
      </c>
      <c r="AP161" t="s">
        <v>208</v>
      </c>
      <c r="AQ161" t="s">
        <v>209</v>
      </c>
      <c r="AR161" t="s">
        <v>502</v>
      </c>
      <c r="AW161" t="s">
        <v>212</v>
      </c>
      <c r="AZ161" t="s">
        <v>209</v>
      </c>
      <c r="BI161" t="s">
        <v>212</v>
      </c>
      <c r="BJ161" t="s">
        <v>213</v>
      </c>
      <c r="BK161" t="s">
        <v>214</v>
      </c>
      <c r="BL161" t="s">
        <v>357</v>
      </c>
      <c r="BN161" t="s">
        <v>216</v>
      </c>
      <c r="BO161" t="s">
        <v>209</v>
      </c>
      <c r="BP161" t="s">
        <v>241</v>
      </c>
      <c r="BQ161">
        <v>4</v>
      </c>
      <c r="BS161" t="s">
        <v>219</v>
      </c>
      <c r="BT161" t="s">
        <v>220</v>
      </c>
      <c r="BU161" t="s">
        <v>206</v>
      </c>
      <c r="BZ161" t="s">
        <v>541</v>
      </c>
      <c r="CA161" t="s">
        <v>287</v>
      </c>
      <c r="CC161" t="s">
        <v>222</v>
      </c>
      <c r="CD161" t="s">
        <v>223</v>
      </c>
      <c r="CE161" t="s">
        <v>242</v>
      </c>
      <c r="CJ161" t="s">
        <v>206</v>
      </c>
      <c r="CK161" t="s">
        <v>230</v>
      </c>
      <c r="CL161" t="s">
        <v>231</v>
      </c>
      <c r="CM161" t="s">
        <v>232</v>
      </c>
      <c r="CN161" t="s">
        <v>233</v>
      </c>
      <c r="CP161" t="s">
        <v>212</v>
      </c>
      <c r="CQ161" t="s">
        <v>212</v>
      </c>
      <c r="CR161" t="s">
        <v>212</v>
      </c>
      <c r="CS161" t="s">
        <v>212</v>
      </c>
      <c r="CY161" t="s">
        <v>212</v>
      </c>
      <c r="DB161" t="s">
        <v>234</v>
      </c>
      <c r="DE161" t="s">
        <v>212</v>
      </c>
      <c r="DF161" t="s">
        <v>212</v>
      </c>
      <c r="DG161" t="s">
        <v>235</v>
      </c>
      <c r="DH161" t="s">
        <v>212</v>
      </c>
      <c r="DJ161" t="s">
        <v>236</v>
      </c>
      <c r="DM161" t="s">
        <v>212</v>
      </c>
    </row>
    <row r="162" spans="1:117" x14ac:dyDescent="0.3">
      <c r="A162">
        <v>21021497</v>
      </c>
      <c r="B162">
        <v>11972359</v>
      </c>
      <c r="C162" t="str">
        <f>"150710602977"</f>
        <v>150710602977</v>
      </c>
      <c r="D162" t="s">
        <v>772</v>
      </c>
      <c r="E162" t="s">
        <v>773</v>
      </c>
      <c r="F162" t="s">
        <v>774</v>
      </c>
      <c r="G162" s="1">
        <v>42195</v>
      </c>
      <c r="I162" t="s">
        <v>199</v>
      </c>
      <c r="J162" t="s">
        <v>200</v>
      </c>
      <c r="K162" t="s">
        <v>201</v>
      </c>
      <c r="Q162" t="s">
        <v>212</v>
      </c>
      <c r="R162" t="str">
        <f>"КАЗАХСТАН, АКМОЛИНСКАЯ, СТЕПНОГОРСК, БЕСТОБЕ, 8"</f>
        <v>КАЗАХСТАН, АКМОЛИНСКАЯ, СТЕПНОГОРСК, БЕСТОБЕ, 8</v>
      </c>
      <c r="S162" t="str">
        <f>"ҚАЗАҚСТАН, АҚМОЛА, СТЕПНОГОР, БЕСТОБЕ, 8"</f>
        <v>ҚАЗАҚСТАН, АҚМОЛА, СТЕПНОГОР, БЕСТОБЕ, 8</v>
      </c>
      <c r="T162" t="str">
        <f>"БЕСТОБЕ, 8"</f>
        <v>БЕСТОБЕ, 8</v>
      </c>
      <c r="U162" t="str">
        <f>"БЕСТОБЕ, 8"</f>
        <v>БЕСТОБЕ, 8</v>
      </c>
      <c r="AC162" t="str">
        <f>"2021-08-28T00:00:00"</f>
        <v>2021-08-28T00:00:00</v>
      </c>
      <c r="AD162" t="str">
        <f>"135"</f>
        <v>135</v>
      </c>
      <c r="AG162" t="s">
        <v>202</v>
      </c>
      <c r="AI162" t="s">
        <v>299</v>
      </c>
      <c r="AJ162" t="s">
        <v>540</v>
      </c>
      <c r="AK162" t="s">
        <v>253</v>
      </c>
      <c r="AL162" t="s">
        <v>206</v>
      </c>
      <c r="AN162" t="s">
        <v>254</v>
      </c>
      <c r="AO162">
        <v>2</v>
      </c>
      <c r="AP162" t="s">
        <v>208</v>
      </c>
      <c r="AQ162" t="s">
        <v>209</v>
      </c>
      <c r="AR162" t="s">
        <v>502</v>
      </c>
      <c r="AW162" t="s">
        <v>212</v>
      </c>
      <c r="AZ162" t="s">
        <v>209</v>
      </c>
      <c r="BI162" t="s">
        <v>212</v>
      </c>
      <c r="BJ162" t="s">
        <v>213</v>
      </c>
      <c r="BK162" t="s">
        <v>214</v>
      </c>
      <c r="BL162" t="s">
        <v>357</v>
      </c>
      <c r="BN162" t="s">
        <v>281</v>
      </c>
      <c r="BO162" t="s">
        <v>209</v>
      </c>
      <c r="BP162" t="s">
        <v>241</v>
      </c>
      <c r="BQ162">
        <v>5</v>
      </c>
      <c r="BS162" t="s">
        <v>219</v>
      </c>
      <c r="BT162" t="s">
        <v>220</v>
      </c>
      <c r="BU162" t="s">
        <v>206</v>
      </c>
      <c r="BZ162" t="s">
        <v>541</v>
      </c>
      <c r="CA162" t="s">
        <v>287</v>
      </c>
      <c r="CC162" t="s">
        <v>222</v>
      </c>
      <c r="CD162" t="s">
        <v>223</v>
      </c>
      <c r="CE162" t="s">
        <v>242</v>
      </c>
      <c r="CJ162" t="s">
        <v>206</v>
      </c>
      <c r="CK162" t="s">
        <v>230</v>
      </c>
      <c r="CL162" t="s">
        <v>231</v>
      </c>
      <c r="CM162" t="s">
        <v>232</v>
      </c>
      <c r="CN162" t="s">
        <v>233</v>
      </c>
      <c r="CP162" t="s">
        <v>212</v>
      </c>
      <c r="CQ162" t="s">
        <v>212</v>
      </c>
      <c r="CR162" t="s">
        <v>212</v>
      </c>
      <c r="CS162" t="s">
        <v>212</v>
      </c>
      <c r="CY162" t="s">
        <v>212</v>
      </c>
      <c r="DB162" t="s">
        <v>234</v>
      </c>
      <c r="DE162" t="s">
        <v>212</v>
      </c>
      <c r="DF162" t="s">
        <v>212</v>
      </c>
      <c r="DG162" t="s">
        <v>235</v>
      </c>
      <c r="DH162" t="s">
        <v>212</v>
      </c>
      <c r="DJ162" t="s">
        <v>236</v>
      </c>
      <c r="DM162" t="s">
        <v>212</v>
      </c>
    </row>
    <row r="163" spans="1:117" x14ac:dyDescent="0.3">
      <c r="A163">
        <v>22827220</v>
      </c>
      <c r="B163">
        <v>826746</v>
      </c>
      <c r="C163" t="str">
        <f>"151013600895"</f>
        <v>151013600895</v>
      </c>
      <c r="D163" t="s">
        <v>775</v>
      </c>
      <c r="E163" t="s">
        <v>266</v>
      </c>
      <c r="F163" t="s">
        <v>574</v>
      </c>
      <c r="G163" s="1">
        <v>42290</v>
      </c>
      <c r="I163" t="s">
        <v>199</v>
      </c>
      <c r="J163" t="s">
        <v>200</v>
      </c>
      <c r="K163" t="s">
        <v>260</v>
      </c>
      <c r="Q163" t="s">
        <v>212</v>
      </c>
      <c r="R163" t="str">
        <f>"КАЗАХСТАН, АКМОЛИНСКАЯ, СТЕПНОГОРСК, 7, 29"</f>
        <v>КАЗАХСТАН, АКМОЛИНСКАЯ, СТЕПНОГОРСК, 7, 29</v>
      </c>
      <c r="S163" t="str">
        <f>"ҚАЗАҚСТАН, АҚМОЛА, СТЕПНОГОР, 7, 29"</f>
        <v>ҚАЗАҚСТАН, АҚМОЛА, СТЕПНОГОР, 7, 29</v>
      </c>
      <c r="T163" t="str">
        <f>"7, 29"</f>
        <v>7, 29</v>
      </c>
      <c r="U163" t="str">
        <f>"7, 29"</f>
        <v>7, 29</v>
      </c>
      <c r="AC163" t="str">
        <f>"2022-08-25T00:00:00"</f>
        <v>2022-08-25T00:00:00</v>
      </c>
      <c r="AD163" t="str">
        <f>"120"</f>
        <v>120</v>
      </c>
      <c r="AE163" t="str">
        <f>"2023-09-01T17:49:51"</f>
        <v>2023-09-01T17:49:51</v>
      </c>
      <c r="AF163" t="str">
        <f>"2024-05-25T17:49:51"</f>
        <v>2024-05-25T17:49:51</v>
      </c>
      <c r="AG163" t="s">
        <v>202</v>
      </c>
      <c r="AI163" t="s">
        <v>299</v>
      </c>
      <c r="AJ163" t="s">
        <v>570</v>
      </c>
      <c r="AK163" t="s">
        <v>205</v>
      </c>
      <c r="AL163" t="s">
        <v>206</v>
      </c>
      <c r="AN163" t="s">
        <v>207</v>
      </c>
      <c r="AO163">
        <v>2</v>
      </c>
      <c r="AP163" t="s">
        <v>208</v>
      </c>
      <c r="AQ163" t="s">
        <v>209</v>
      </c>
      <c r="AR163" t="s">
        <v>502</v>
      </c>
      <c r="AW163" t="s">
        <v>212</v>
      </c>
      <c r="AZ163" t="s">
        <v>209</v>
      </c>
      <c r="BI163" t="s">
        <v>212</v>
      </c>
      <c r="BJ163" t="s">
        <v>213</v>
      </c>
      <c r="BK163" t="s">
        <v>214</v>
      </c>
      <c r="BL163" t="s">
        <v>357</v>
      </c>
      <c r="BN163" t="s">
        <v>216</v>
      </c>
      <c r="BO163" t="s">
        <v>209</v>
      </c>
      <c r="BP163" t="s">
        <v>241</v>
      </c>
      <c r="BQ163">
        <v>4</v>
      </c>
      <c r="BS163" t="s">
        <v>220</v>
      </c>
      <c r="BU163" t="s">
        <v>212</v>
      </c>
      <c r="BZ163" t="s">
        <v>623</v>
      </c>
      <c r="CA163" t="s">
        <v>287</v>
      </c>
      <c r="CC163" t="s">
        <v>776</v>
      </c>
      <c r="CD163" t="s">
        <v>349</v>
      </c>
      <c r="CE163" t="s">
        <v>242</v>
      </c>
      <c r="CJ163" t="s">
        <v>206</v>
      </c>
      <c r="CK163" t="s">
        <v>230</v>
      </c>
      <c r="CL163" t="s">
        <v>231</v>
      </c>
      <c r="CM163" t="s">
        <v>232</v>
      </c>
      <c r="CN163" t="s">
        <v>233</v>
      </c>
      <c r="CP163" t="s">
        <v>212</v>
      </c>
      <c r="CQ163" t="s">
        <v>212</v>
      </c>
      <c r="CR163" t="s">
        <v>212</v>
      </c>
      <c r="CS163" t="s">
        <v>212</v>
      </c>
      <c r="CY163" t="s">
        <v>212</v>
      </c>
      <c r="DB163" t="s">
        <v>234</v>
      </c>
      <c r="DE163" t="s">
        <v>212</v>
      </c>
      <c r="DF163" t="s">
        <v>212</v>
      </c>
      <c r="DG163" t="s">
        <v>235</v>
      </c>
      <c r="DH163" t="s">
        <v>212</v>
      </c>
      <c r="DJ163" t="s">
        <v>236</v>
      </c>
      <c r="DM163" t="s">
        <v>212</v>
      </c>
    </row>
    <row r="164" spans="1:117" x14ac:dyDescent="0.3">
      <c r="A164">
        <v>20979110</v>
      </c>
      <c r="B164">
        <v>840196</v>
      </c>
      <c r="C164" t="str">
        <f>"141108501237"</f>
        <v>141108501237</v>
      </c>
      <c r="D164" t="s">
        <v>777</v>
      </c>
      <c r="E164" t="s">
        <v>778</v>
      </c>
      <c r="F164" t="s">
        <v>779</v>
      </c>
      <c r="G164" s="1">
        <v>41951</v>
      </c>
      <c r="I164" t="s">
        <v>240</v>
      </c>
      <c r="J164" t="s">
        <v>200</v>
      </c>
      <c r="K164" t="s">
        <v>201</v>
      </c>
      <c r="R164" t="str">
        <f>"КАЗАХСТАН, АКМОЛИНСКАЯ, СТЕПНОГОРСК, 37, 3"</f>
        <v>КАЗАХСТАН, АКМОЛИНСКАЯ, СТЕПНОГОРСК, 37, 3</v>
      </c>
      <c r="S164" t="str">
        <f>"ҚАЗАҚСТАН, АҚМОЛА, СТЕПНОГОР, 37, 3"</f>
        <v>ҚАЗАҚСТАН, АҚМОЛА, СТЕПНОГОР, 37, 3</v>
      </c>
      <c r="T164" t="str">
        <f>"37, 3"</f>
        <v>37, 3</v>
      </c>
      <c r="U164" t="str">
        <f>"37, 3"</f>
        <v>37, 3</v>
      </c>
      <c r="AC164" t="str">
        <f>"2021-08-28T00:00:00"</f>
        <v>2021-08-28T00:00:00</v>
      </c>
      <c r="AD164" t="str">
        <f t="shared" ref="AD164:AD170" si="6">"135"</f>
        <v>135</v>
      </c>
      <c r="AG164" t="s">
        <v>202</v>
      </c>
      <c r="AI164" t="s">
        <v>274</v>
      </c>
      <c r="AJ164" t="s">
        <v>540</v>
      </c>
      <c r="AK164" t="s">
        <v>253</v>
      </c>
      <c r="AL164" t="s">
        <v>206</v>
      </c>
      <c r="AN164" t="s">
        <v>254</v>
      </c>
      <c r="AO164">
        <v>2</v>
      </c>
      <c r="AP164" t="s">
        <v>208</v>
      </c>
      <c r="AQ164" t="s">
        <v>209</v>
      </c>
      <c r="AR164" t="s">
        <v>502</v>
      </c>
      <c r="AW164" t="s">
        <v>212</v>
      </c>
      <c r="AZ164" t="s">
        <v>209</v>
      </c>
      <c r="BI164" t="s">
        <v>212</v>
      </c>
      <c r="BJ164" t="s">
        <v>213</v>
      </c>
      <c r="BK164" t="s">
        <v>214</v>
      </c>
      <c r="BL164" t="s">
        <v>357</v>
      </c>
      <c r="BN164" t="s">
        <v>247</v>
      </c>
      <c r="BO164" t="s">
        <v>209</v>
      </c>
      <c r="BP164" t="s">
        <v>241</v>
      </c>
      <c r="BQ164">
        <v>3</v>
      </c>
      <c r="BS164" t="s">
        <v>219</v>
      </c>
      <c r="BT164" t="s">
        <v>220</v>
      </c>
      <c r="BU164" t="s">
        <v>206</v>
      </c>
      <c r="BZ164" t="s">
        <v>541</v>
      </c>
      <c r="CA164" t="s">
        <v>287</v>
      </c>
      <c r="CC164" t="s">
        <v>209</v>
      </c>
      <c r="CE164" t="s">
        <v>242</v>
      </c>
      <c r="CJ164" t="s">
        <v>206</v>
      </c>
      <c r="CK164" t="s">
        <v>230</v>
      </c>
      <c r="CL164" t="s">
        <v>231</v>
      </c>
      <c r="CM164" t="s">
        <v>232</v>
      </c>
      <c r="CN164" t="s">
        <v>233</v>
      </c>
      <c r="CP164" t="s">
        <v>212</v>
      </c>
      <c r="CQ164" t="s">
        <v>212</v>
      </c>
      <c r="CR164" t="s">
        <v>212</v>
      </c>
      <c r="CS164" t="s">
        <v>212</v>
      </c>
      <c r="CY164" t="s">
        <v>212</v>
      </c>
      <c r="DB164" t="s">
        <v>234</v>
      </c>
      <c r="DE164" t="s">
        <v>212</v>
      </c>
      <c r="DF164" t="s">
        <v>212</v>
      </c>
      <c r="DG164" t="s">
        <v>235</v>
      </c>
      <c r="DH164" t="s">
        <v>212</v>
      </c>
      <c r="DJ164" t="s">
        <v>236</v>
      </c>
      <c r="DM164" t="s">
        <v>212</v>
      </c>
    </row>
    <row r="165" spans="1:117" x14ac:dyDescent="0.3">
      <c r="A165">
        <v>20907200</v>
      </c>
      <c r="B165">
        <v>9190326</v>
      </c>
      <c r="C165" t="str">
        <f>"151001602905"</f>
        <v>151001602905</v>
      </c>
      <c r="D165" t="s">
        <v>780</v>
      </c>
      <c r="E165" t="s">
        <v>781</v>
      </c>
      <c r="G165" s="1">
        <v>42278</v>
      </c>
      <c r="I165" t="s">
        <v>199</v>
      </c>
      <c r="J165" t="s">
        <v>200</v>
      </c>
      <c r="K165" t="s">
        <v>201</v>
      </c>
      <c r="R165" t="str">
        <f>"КАЗАХСТАН, АКМОЛИНСКАЯ, СТЕПНОГОРСК, 21, 55"</f>
        <v>КАЗАХСТАН, АКМОЛИНСКАЯ, СТЕПНОГОРСК, 21, 55</v>
      </c>
      <c r="S165" t="str">
        <f>"ҚАЗАҚСТАН, АҚМОЛА, СТЕПНОГОР, 21, 55"</f>
        <v>ҚАЗАҚСТАН, АҚМОЛА, СТЕПНОГОР, 21, 55</v>
      </c>
      <c r="T165" t="str">
        <f>"21, 55"</f>
        <v>21, 55</v>
      </c>
      <c r="U165" t="str">
        <f>"21, 55"</f>
        <v>21, 55</v>
      </c>
      <c r="AC165" t="str">
        <f>"2021-09-03T00:00:00"</f>
        <v>2021-09-03T00:00:00</v>
      </c>
      <c r="AD165" t="str">
        <f t="shared" si="6"/>
        <v>135</v>
      </c>
      <c r="AG165" t="s">
        <v>202</v>
      </c>
      <c r="AI165" t="s">
        <v>299</v>
      </c>
      <c r="AJ165" t="s">
        <v>540</v>
      </c>
      <c r="AK165" t="s">
        <v>253</v>
      </c>
      <c r="AL165" t="s">
        <v>206</v>
      </c>
      <c r="AN165" t="s">
        <v>254</v>
      </c>
      <c r="AO165">
        <v>2</v>
      </c>
      <c r="AP165" t="s">
        <v>208</v>
      </c>
      <c r="AQ165" t="s">
        <v>209</v>
      </c>
      <c r="AR165" t="s">
        <v>502</v>
      </c>
      <c r="AW165" t="s">
        <v>212</v>
      </c>
      <c r="AZ165" t="s">
        <v>209</v>
      </c>
      <c r="BI165" t="s">
        <v>212</v>
      </c>
      <c r="BJ165" t="s">
        <v>213</v>
      </c>
      <c r="BK165" t="s">
        <v>214</v>
      </c>
      <c r="BL165" t="s">
        <v>357</v>
      </c>
      <c r="BN165" t="s">
        <v>216</v>
      </c>
      <c r="BO165" t="s">
        <v>209</v>
      </c>
      <c r="BP165" t="s">
        <v>241</v>
      </c>
      <c r="BQ165">
        <v>4</v>
      </c>
      <c r="BS165" t="s">
        <v>219</v>
      </c>
      <c r="BT165" t="s">
        <v>220</v>
      </c>
      <c r="BU165" t="s">
        <v>206</v>
      </c>
      <c r="BZ165" t="s">
        <v>541</v>
      </c>
      <c r="CA165" t="s">
        <v>287</v>
      </c>
      <c r="CC165" t="s">
        <v>222</v>
      </c>
      <c r="CD165" t="s">
        <v>223</v>
      </c>
      <c r="CE165" t="s">
        <v>242</v>
      </c>
      <c r="CJ165" t="s">
        <v>206</v>
      </c>
      <c r="CK165" t="s">
        <v>230</v>
      </c>
      <c r="CL165" t="s">
        <v>231</v>
      </c>
      <c r="CM165" t="s">
        <v>232</v>
      </c>
      <c r="CN165" t="s">
        <v>233</v>
      </c>
      <c r="CP165" t="s">
        <v>212</v>
      </c>
      <c r="CQ165" t="s">
        <v>212</v>
      </c>
      <c r="CR165" t="s">
        <v>212</v>
      </c>
      <c r="CS165" t="s">
        <v>212</v>
      </c>
      <c r="CY165" t="s">
        <v>212</v>
      </c>
      <c r="DB165" t="s">
        <v>234</v>
      </c>
      <c r="DE165" t="s">
        <v>212</v>
      </c>
      <c r="DF165" t="s">
        <v>212</v>
      </c>
      <c r="DG165" t="s">
        <v>235</v>
      </c>
      <c r="DH165" t="s">
        <v>212</v>
      </c>
      <c r="DJ165" t="s">
        <v>236</v>
      </c>
      <c r="DM165" t="s">
        <v>206</v>
      </c>
    </row>
    <row r="166" spans="1:117" x14ac:dyDescent="0.3">
      <c r="A166">
        <v>20906668</v>
      </c>
      <c r="B166">
        <v>805459</v>
      </c>
      <c r="C166" t="str">
        <f>"141224502523"</f>
        <v>141224502523</v>
      </c>
      <c r="D166" t="s">
        <v>782</v>
      </c>
      <c r="E166" t="s">
        <v>783</v>
      </c>
      <c r="F166" t="s">
        <v>259</v>
      </c>
      <c r="G166" s="1">
        <v>41997</v>
      </c>
      <c r="I166" t="s">
        <v>240</v>
      </c>
      <c r="J166" t="s">
        <v>200</v>
      </c>
      <c r="K166" t="s">
        <v>306</v>
      </c>
      <c r="R166" t="str">
        <f>"КАЗАХСТАН, АКМОЛИНСКАЯ, СТЕПНОГОРСК, 36, 38"</f>
        <v>КАЗАХСТАН, АКМОЛИНСКАЯ, СТЕПНОГОРСК, 36, 38</v>
      </c>
      <c r="S166" t="str">
        <f>"ҚАЗАҚСТАН, АҚМОЛА, СТЕПНОГОР, 36, 38"</f>
        <v>ҚАЗАҚСТАН, АҚМОЛА, СТЕПНОГОР, 36, 38</v>
      </c>
      <c r="T166" t="str">
        <f>"36, 38"</f>
        <v>36, 38</v>
      </c>
      <c r="U166" t="str">
        <f>"36, 38"</f>
        <v>36, 38</v>
      </c>
      <c r="AC166" t="str">
        <f>"2021-08-31T00:00:00"</f>
        <v>2021-08-31T00:00:00</v>
      </c>
      <c r="AD166" t="str">
        <f t="shared" si="6"/>
        <v>135</v>
      </c>
      <c r="AG166" t="s">
        <v>202</v>
      </c>
      <c r="AI166" t="s">
        <v>299</v>
      </c>
      <c r="AJ166" t="s">
        <v>540</v>
      </c>
      <c r="AK166" t="s">
        <v>246</v>
      </c>
      <c r="AL166" t="s">
        <v>206</v>
      </c>
      <c r="AN166" t="s">
        <v>207</v>
      </c>
      <c r="AO166">
        <v>2</v>
      </c>
      <c r="AP166" t="s">
        <v>208</v>
      </c>
      <c r="AQ166" t="s">
        <v>209</v>
      </c>
      <c r="AR166" t="s">
        <v>502</v>
      </c>
      <c r="AW166" t="s">
        <v>212</v>
      </c>
      <c r="AZ166" t="s">
        <v>209</v>
      </c>
      <c r="BI166" t="s">
        <v>212</v>
      </c>
      <c r="BJ166" t="s">
        <v>213</v>
      </c>
      <c r="BK166" t="s">
        <v>214</v>
      </c>
      <c r="BL166" t="s">
        <v>357</v>
      </c>
      <c r="BN166" t="s">
        <v>247</v>
      </c>
      <c r="BO166" t="s">
        <v>209</v>
      </c>
      <c r="BP166" t="s">
        <v>241</v>
      </c>
      <c r="BQ166">
        <v>4</v>
      </c>
      <c r="BS166" t="s">
        <v>219</v>
      </c>
      <c r="BT166" t="s">
        <v>220</v>
      </c>
      <c r="BU166" t="s">
        <v>206</v>
      </c>
      <c r="BX166" t="s">
        <v>234</v>
      </c>
      <c r="BY166" t="s">
        <v>234</v>
      </c>
      <c r="BZ166" t="s">
        <v>541</v>
      </c>
      <c r="CA166" t="s">
        <v>287</v>
      </c>
      <c r="CC166" t="s">
        <v>222</v>
      </c>
      <c r="CD166" t="s">
        <v>223</v>
      </c>
      <c r="CE166" t="s">
        <v>242</v>
      </c>
      <c r="CJ166" t="s">
        <v>206</v>
      </c>
      <c r="CK166" t="s">
        <v>230</v>
      </c>
      <c r="CL166" t="s">
        <v>231</v>
      </c>
      <c r="CM166" t="s">
        <v>232</v>
      </c>
      <c r="CN166" t="s">
        <v>233</v>
      </c>
      <c r="CP166" t="s">
        <v>212</v>
      </c>
      <c r="CQ166" t="s">
        <v>212</v>
      </c>
      <c r="CR166" t="s">
        <v>212</v>
      </c>
      <c r="CS166" t="s">
        <v>212</v>
      </c>
      <c r="CY166" t="s">
        <v>212</v>
      </c>
      <c r="DB166" t="s">
        <v>234</v>
      </c>
      <c r="DE166" t="s">
        <v>212</v>
      </c>
      <c r="DF166" t="s">
        <v>212</v>
      </c>
      <c r="DG166" t="s">
        <v>235</v>
      </c>
      <c r="DH166" t="s">
        <v>212</v>
      </c>
      <c r="DJ166" t="s">
        <v>236</v>
      </c>
      <c r="DM166" t="s">
        <v>212</v>
      </c>
    </row>
    <row r="167" spans="1:117" x14ac:dyDescent="0.3">
      <c r="A167">
        <v>20898951</v>
      </c>
      <c r="B167">
        <v>770046</v>
      </c>
      <c r="C167" t="str">
        <f>"150304603501"</f>
        <v>150304603501</v>
      </c>
      <c r="D167" t="s">
        <v>784</v>
      </c>
      <c r="E167" t="s">
        <v>785</v>
      </c>
      <c r="F167" t="s">
        <v>786</v>
      </c>
      <c r="G167" s="1">
        <v>42067</v>
      </c>
      <c r="I167" t="s">
        <v>199</v>
      </c>
      <c r="J167" t="s">
        <v>200</v>
      </c>
      <c r="K167" t="s">
        <v>201</v>
      </c>
      <c r="R167" t="str">
        <f>"КАЗАХСТАН, АКМОЛИНСКАЯ, СТЕПНОГОРСК, Заводской, 19, 2"</f>
        <v>КАЗАХСТАН, АКМОЛИНСКАЯ, СТЕПНОГОРСК, Заводской, 19, 2</v>
      </c>
      <c r="S167" t="str">
        <f>"ҚАЗАҚСТАН, АҚМОЛА, СТЕПНОГОР, Заводской, 19, 2"</f>
        <v>ҚАЗАҚСТАН, АҚМОЛА, СТЕПНОГОР, Заводской, 19, 2</v>
      </c>
      <c r="T167" t="str">
        <f>"Заводской, 19, 2"</f>
        <v>Заводской, 19, 2</v>
      </c>
      <c r="U167" t="str">
        <f>"Заводской, 19, 2"</f>
        <v>Заводской, 19, 2</v>
      </c>
      <c r="AC167" t="str">
        <f>"2021-08-28T00:00:00"</f>
        <v>2021-08-28T00:00:00</v>
      </c>
      <c r="AD167" t="str">
        <f t="shared" si="6"/>
        <v>135</v>
      </c>
      <c r="AG167" t="s">
        <v>202</v>
      </c>
      <c r="AI167" t="s">
        <v>299</v>
      </c>
      <c r="AJ167" t="s">
        <v>540</v>
      </c>
      <c r="AK167" t="s">
        <v>261</v>
      </c>
      <c r="AL167" t="s">
        <v>206</v>
      </c>
      <c r="AN167" t="s">
        <v>207</v>
      </c>
      <c r="AO167">
        <v>2</v>
      </c>
      <c r="AP167" t="s">
        <v>208</v>
      </c>
      <c r="AQ167" t="s">
        <v>209</v>
      </c>
      <c r="AR167" t="s">
        <v>502</v>
      </c>
      <c r="AW167" t="s">
        <v>212</v>
      </c>
      <c r="AZ167" t="s">
        <v>209</v>
      </c>
      <c r="BI167" t="s">
        <v>212</v>
      </c>
      <c r="BJ167" t="s">
        <v>213</v>
      </c>
      <c r="BK167" t="s">
        <v>214</v>
      </c>
      <c r="BL167" t="s">
        <v>357</v>
      </c>
      <c r="BN167" t="s">
        <v>247</v>
      </c>
      <c r="BO167" t="s">
        <v>209</v>
      </c>
      <c r="BP167" t="s">
        <v>241</v>
      </c>
      <c r="BQ167">
        <v>3</v>
      </c>
      <c r="BS167" t="s">
        <v>219</v>
      </c>
      <c r="BT167" t="s">
        <v>220</v>
      </c>
      <c r="BU167" t="s">
        <v>206</v>
      </c>
      <c r="BZ167" t="s">
        <v>541</v>
      </c>
      <c r="CA167" t="s">
        <v>287</v>
      </c>
      <c r="CC167" t="s">
        <v>222</v>
      </c>
      <c r="CD167" t="s">
        <v>223</v>
      </c>
      <c r="CE167" t="s">
        <v>242</v>
      </c>
      <c r="CJ167" t="s">
        <v>206</v>
      </c>
      <c r="CK167" t="s">
        <v>230</v>
      </c>
      <c r="CL167" t="s">
        <v>231</v>
      </c>
      <c r="CM167" t="s">
        <v>232</v>
      </c>
      <c r="CN167" t="s">
        <v>233</v>
      </c>
      <c r="CP167" t="s">
        <v>212</v>
      </c>
      <c r="CQ167" t="s">
        <v>212</v>
      </c>
      <c r="CR167" t="s">
        <v>212</v>
      </c>
      <c r="CS167" t="s">
        <v>212</v>
      </c>
      <c r="CY167" t="s">
        <v>212</v>
      </c>
      <c r="DB167" t="s">
        <v>234</v>
      </c>
      <c r="DE167" t="s">
        <v>212</v>
      </c>
      <c r="DF167" t="s">
        <v>212</v>
      </c>
      <c r="DG167" t="s">
        <v>235</v>
      </c>
      <c r="DH167" t="s">
        <v>212</v>
      </c>
      <c r="DJ167" t="s">
        <v>236</v>
      </c>
      <c r="DM167" t="s">
        <v>212</v>
      </c>
    </row>
    <row r="168" spans="1:117" x14ac:dyDescent="0.3">
      <c r="A168">
        <v>20898826</v>
      </c>
      <c r="B168">
        <v>8716955</v>
      </c>
      <c r="C168" t="str">
        <f>"150822600345"</f>
        <v>150822600345</v>
      </c>
      <c r="D168" t="s">
        <v>784</v>
      </c>
      <c r="E168" t="s">
        <v>787</v>
      </c>
      <c r="F168" t="s">
        <v>771</v>
      </c>
      <c r="G168" s="1">
        <v>42238</v>
      </c>
      <c r="I168" t="s">
        <v>199</v>
      </c>
      <c r="J168" t="s">
        <v>200</v>
      </c>
      <c r="K168" t="s">
        <v>201</v>
      </c>
      <c r="R168" t="str">
        <f>"КАЗАХСТАН, НУР-СУЛТАН, АЛМАТЫ РАЙОН, -, 8/2, 54"</f>
        <v>КАЗАХСТАН, НУР-СУЛТАН, АЛМАТЫ РАЙОН, -, 8/2, 54</v>
      </c>
      <c r="S168" t="str">
        <f>"ҚАЗАҚСТАН, НҰР-СҰЛТАН, АЛМАТЫ АУДАНЫ, -, 8/2, 54"</f>
        <v>ҚАЗАҚСТАН, НҰР-СҰЛТАН, АЛМАТЫ АУДАНЫ, -, 8/2, 54</v>
      </c>
      <c r="T168" t="str">
        <f>"-, 8/2, 54"</f>
        <v>-, 8/2, 54</v>
      </c>
      <c r="U168" t="str">
        <f>"-, 8/2, 54"</f>
        <v>-, 8/2, 54</v>
      </c>
      <c r="AC168" t="str">
        <f>"2021-08-28T00:00:00"</f>
        <v>2021-08-28T00:00:00</v>
      </c>
      <c r="AD168" t="str">
        <f t="shared" si="6"/>
        <v>135</v>
      </c>
      <c r="AG168" t="s">
        <v>202</v>
      </c>
      <c r="AI168" t="s">
        <v>299</v>
      </c>
      <c r="AJ168" t="s">
        <v>540</v>
      </c>
      <c r="AK168" t="s">
        <v>261</v>
      </c>
      <c r="AL168" t="s">
        <v>206</v>
      </c>
      <c r="AN168" t="s">
        <v>207</v>
      </c>
      <c r="AO168">
        <v>2</v>
      </c>
      <c r="AP168" t="s">
        <v>208</v>
      </c>
      <c r="AQ168" t="s">
        <v>209</v>
      </c>
      <c r="AR168" t="s">
        <v>502</v>
      </c>
      <c r="AW168" t="s">
        <v>212</v>
      </c>
      <c r="AZ168" t="s">
        <v>209</v>
      </c>
      <c r="BI168" t="s">
        <v>212</v>
      </c>
      <c r="BJ168" t="s">
        <v>213</v>
      </c>
      <c r="BK168" t="s">
        <v>214</v>
      </c>
      <c r="BL168" t="s">
        <v>357</v>
      </c>
      <c r="BN168" t="s">
        <v>216</v>
      </c>
      <c r="BO168" t="s">
        <v>209</v>
      </c>
      <c r="BP168" t="s">
        <v>241</v>
      </c>
      <c r="BQ168">
        <v>4</v>
      </c>
      <c r="BS168" t="s">
        <v>219</v>
      </c>
      <c r="BT168" t="s">
        <v>220</v>
      </c>
      <c r="BU168" t="s">
        <v>206</v>
      </c>
      <c r="BZ168" t="s">
        <v>541</v>
      </c>
      <c r="CA168" t="s">
        <v>287</v>
      </c>
      <c r="CC168" t="s">
        <v>222</v>
      </c>
      <c r="CD168" t="s">
        <v>223</v>
      </c>
      <c r="CE168" t="s">
        <v>242</v>
      </c>
      <c r="CJ168" t="s">
        <v>206</v>
      </c>
      <c r="CK168" t="s">
        <v>230</v>
      </c>
      <c r="CL168" t="s">
        <v>231</v>
      </c>
      <c r="CM168" t="s">
        <v>232</v>
      </c>
      <c r="CN168" t="s">
        <v>233</v>
      </c>
      <c r="CP168" t="s">
        <v>212</v>
      </c>
      <c r="CQ168" t="s">
        <v>212</v>
      </c>
      <c r="CR168" t="s">
        <v>212</v>
      </c>
      <c r="CS168" t="s">
        <v>212</v>
      </c>
      <c r="CY168" t="s">
        <v>212</v>
      </c>
      <c r="DB168" t="s">
        <v>234</v>
      </c>
      <c r="DE168" t="s">
        <v>212</v>
      </c>
      <c r="DF168" t="s">
        <v>212</v>
      </c>
      <c r="DG168" t="s">
        <v>235</v>
      </c>
      <c r="DH168" t="s">
        <v>212</v>
      </c>
      <c r="DJ168" t="s">
        <v>236</v>
      </c>
      <c r="DM168" t="s">
        <v>212</v>
      </c>
    </row>
    <row r="169" spans="1:117" x14ac:dyDescent="0.3">
      <c r="A169">
        <v>20898523</v>
      </c>
      <c r="B169">
        <v>771735</v>
      </c>
      <c r="C169" t="str">
        <f>"150421605425"</f>
        <v>150421605425</v>
      </c>
      <c r="D169" t="s">
        <v>788</v>
      </c>
      <c r="E169" t="s">
        <v>789</v>
      </c>
      <c r="F169" t="s">
        <v>555</v>
      </c>
      <c r="G169" s="1">
        <v>42115</v>
      </c>
      <c r="I169" t="s">
        <v>199</v>
      </c>
      <c r="J169" t="s">
        <v>200</v>
      </c>
      <c r="K169" t="s">
        <v>260</v>
      </c>
      <c r="Q169" t="s">
        <v>212</v>
      </c>
      <c r="R169" t="str">
        <f>"КАЗАХСТАН, АКМОЛИНСКАЯ, СТЕПНОГОРСК, СТЕПНОГОРСК, 45, 64"</f>
        <v>КАЗАХСТАН, АКМОЛИНСКАЯ, СТЕПНОГОРСК, СТЕПНОГОРСК, 45, 64</v>
      </c>
      <c r="S169" t="str">
        <f>"ҚАЗАҚСТАН, АҚМОЛА, СТЕПНОГОР, СТЕПНОГОРСК, 45, 64"</f>
        <v>ҚАЗАҚСТАН, АҚМОЛА, СТЕПНОГОР, СТЕПНОГОРСК, 45, 64</v>
      </c>
      <c r="T169" t="str">
        <f>"СТЕПНОГОРСК, 45, 64"</f>
        <v>СТЕПНОГОРСК, 45, 64</v>
      </c>
      <c r="U169" t="str">
        <f>"СТЕПНОГОРСК, 45, 64"</f>
        <v>СТЕПНОГОРСК, 45, 64</v>
      </c>
      <c r="AC169" t="str">
        <f>"2021-08-28T00:00:00"</f>
        <v>2021-08-28T00:00:00</v>
      </c>
      <c r="AD169" t="str">
        <f t="shared" si="6"/>
        <v>135</v>
      </c>
      <c r="AG169" t="s">
        <v>202</v>
      </c>
      <c r="AI169" t="s">
        <v>299</v>
      </c>
      <c r="AJ169" t="s">
        <v>540</v>
      </c>
      <c r="AK169" t="s">
        <v>261</v>
      </c>
      <c r="AL169" t="s">
        <v>206</v>
      </c>
      <c r="AN169" t="s">
        <v>207</v>
      </c>
      <c r="AO169">
        <v>2</v>
      </c>
      <c r="AP169" t="s">
        <v>208</v>
      </c>
      <c r="AQ169" t="s">
        <v>209</v>
      </c>
      <c r="AR169" t="s">
        <v>502</v>
      </c>
      <c r="AW169" t="s">
        <v>212</v>
      </c>
      <c r="AZ169" t="s">
        <v>209</v>
      </c>
      <c r="BI169" t="s">
        <v>212</v>
      </c>
      <c r="BJ169" t="s">
        <v>213</v>
      </c>
      <c r="BK169" t="s">
        <v>214</v>
      </c>
      <c r="BL169" t="s">
        <v>357</v>
      </c>
      <c r="BN169" t="s">
        <v>247</v>
      </c>
      <c r="BO169" t="s">
        <v>209</v>
      </c>
      <c r="BP169" t="s">
        <v>241</v>
      </c>
      <c r="BQ169">
        <v>3</v>
      </c>
      <c r="BS169" t="s">
        <v>219</v>
      </c>
      <c r="BT169" t="s">
        <v>220</v>
      </c>
      <c r="BU169" t="s">
        <v>206</v>
      </c>
      <c r="BZ169" t="s">
        <v>541</v>
      </c>
      <c r="CA169" t="s">
        <v>287</v>
      </c>
      <c r="CC169" t="s">
        <v>222</v>
      </c>
      <c r="CD169" t="s">
        <v>223</v>
      </c>
      <c r="CE169" t="s">
        <v>242</v>
      </c>
      <c r="CJ169" t="s">
        <v>206</v>
      </c>
      <c r="CK169" t="s">
        <v>230</v>
      </c>
      <c r="CL169" t="s">
        <v>231</v>
      </c>
      <c r="CM169" t="s">
        <v>232</v>
      </c>
      <c r="CN169" t="s">
        <v>233</v>
      </c>
      <c r="CP169" t="s">
        <v>212</v>
      </c>
      <c r="CQ169" t="s">
        <v>212</v>
      </c>
      <c r="CR169" t="s">
        <v>212</v>
      </c>
      <c r="CS169" t="s">
        <v>212</v>
      </c>
      <c r="CY169" t="s">
        <v>212</v>
      </c>
      <c r="DB169" t="s">
        <v>234</v>
      </c>
      <c r="DE169" t="s">
        <v>212</v>
      </c>
      <c r="DF169" t="s">
        <v>212</v>
      </c>
      <c r="DG169" t="s">
        <v>235</v>
      </c>
      <c r="DH169" t="s">
        <v>212</v>
      </c>
      <c r="DJ169" t="s">
        <v>236</v>
      </c>
      <c r="DM169" t="s">
        <v>212</v>
      </c>
    </row>
    <row r="170" spans="1:117" x14ac:dyDescent="0.3">
      <c r="A170">
        <v>20898384</v>
      </c>
      <c r="B170">
        <v>921116</v>
      </c>
      <c r="C170" t="str">
        <f>"141001605938"</f>
        <v>141001605938</v>
      </c>
      <c r="D170" t="s">
        <v>790</v>
      </c>
      <c r="E170" t="s">
        <v>791</v>
      </c>
      <c r="F170" t="s">
        <v>305</v>
      </c>
      <c r="G170" s="1">
        <v>41913</v>
      </c>
      <c r="I170" t="s">
        <v>199</v>
      </c>
      <c r="J170" t="s">
        <v>200</v>
      </c>
      <c r="K170" t="s">
        <v>260</v>
      </c>
      <c r="Q170" t="s">
        <v>212</v>
      </c>
      <c r="R170" t="str">
        <f>"КАЗАХСТАН, АКМОЛИНСКАЯ, СТЕПНОГОРСК, 22, 100"</f>
        <v>КАЗАХСТАН, АКМОЛИНСКАЯ, СТЕПНОГОРСК, 22, 100</v>
      </c>
      <c r="S170" t="str">
        <f>"ҚАЗАҚСТАН, АҚМОЛА, СТЕПНОГОР, 22, 100"</f>
        <v>ҚАЗАҚСТАН, АҚМОЛА, СТЕПНОГОР, 22, 100</v>
      </c>
      <c r="T170" t="str">
        <f>"22, 100"</f>
        <v>22, 100</v>
      </c>
      <c r="U170" t="str">
        <f>"22, 100"</f>
        <v>22, 100</v>
      </c>
      <c r="AC170" t="str">
        <f>"2021-08-28T00:00:00"</f>
        <v>2021-08-28T00:00:00</v>
      </c>
      <c r="AD170" t="str">
        <f t="shared" si="6"/>
        <v>135</v>
      </c>
      <c r="AG170" t="s">
        <v>202</v>
      </c>
      <c r="AI170" t="s">
        <v>299</v>
      </c>
      <c r="AJ170" t="s">
        <v>540</v>
      </c>
      <c r="AK170" t="s">
        <v>261</v>
      </c>
      <c r="AL170" t="s">
        <v>206</v>
      </c>
      <c r="AN170" t="s">
        <v>207</v>
      </c>
      <c r="AO170">
        <v>2</v>
      </c>
      <c r="AP170" t="s">
        <v>208</v>
      </c>
      <c r="AQ170" t="s">
        <v>209</v>
      </c>
      <c r="AR170" t="s">
        <v>502</v>
      </c>
      <c r="AW170" t="s">
        <v>212</v>
      </c>
      <c r="AZ170" t="s">
        <v>209</v>
      </c>
      <c r="BI170" t="s">
        <v>212</v>
      </c>
      <c r="BJ170" t="s">
        <v>213</v>
      </c>
      <c r="BK170" t="s">
        <v>214</v>
      </c>
      <c r="BL170" t="s">
        <v>357</v>
      </c>
      <c r="BN170" t="s">
        <v>281</v>
      </c>
      <c r="BO170" t="s">
        <v>209</v>
      </c>
      <c r="BP170" t="s">
        <v>241</v>
      </c>
      <c r="BQ170">
        <v>5</v>
      </c>
      <c r="BS170" t="s">
        <v>219</v>
      </c>
      <c r="BT170" t="s">
        <v>220</v>
      </c>
      <c r="BU170" t="s">
        <v>206</v>
      </c>
      <c r="BZ170" t="s">
        <v>541</v>
      </c>
      <c r="CA170" t="s">
        <v>287</v>
      </c>
      <c r="CC170" t="s">
        <v>222</v>
      </c>
      <c r="CD170" t="s">
        <v>223</v>
      </c>
      <c r="CE170" t="s">
        <v>242</v>
      </c>
      <c r="CJ170" t="s">
        <v>206</v>
      </c>
      <c r="CK170" t="s">
        <v>230</v>
      </c>
      <c r="CL170" t="s">
        <v>231</v>
      </c>
      <c r="CM170" t="s">
        <v>232</v>
      </c>
      <c r="CN170" t="s">
        <v>233</v>
      </c>
      <c r="CP170" t="s">
        <v>212</v>
      </c>
      <c r="CQ170" t="s">
        <v>212</v>
      </c>
      <c r="CR170" t="s">
        <v>212</v>
      </c>
      <c r="CS170" t="s">
        <v>212</v>
      </c>
      <c r="CY170" t="s">
        <v>212</v>
      </c>
      <c r="DB170" t="s">
        <v>234</v>
      </c>
      <c r="DE170" t="s">
        <v>212</v>
      </c>
      <c r="DF170" t="s">
        <v>212</v>
      </c>
      <c r="DG170" t="s">
        <v>235</v>
      </c>
      <c r="DH170" t="s">
        <v>212</v>
      </c>
      <c r="DJ170" t="s">
        <v>236</v>
      </c>
      <c r="DM170" t="s">
        <v>212</v>
      </c>
    </row>
    <row r="171" spans="1:117" x14ac:dyDescent="0.3">
      <c r="A171">
        <v>22844094</v>
      </c>
      <c r="B171">
        <v>311425</v>
      </c>
      <c r="C171" t="str">
        <f>"061222551652"</f>
        <v>061222551652</v>
      </c>
      <c r="D171" t="s">
        <v>792</v>
      </c>
      <c r="E171" t="s">
        <v>793</v>
      </c>
      <c r="F171" t="s">
        <v>794</v>
      </c>
      <c r="G171" s="1">
        <v>39073</v>
      </c>
      <c r="I171" t="s">
        <v>240</v>
      </c>
      <c r="J171" t="s">
        <v>200</v>
      </c>
      <c r="K171" t="s">
        <v>260</v>
      </c>
      <c r="Q171" t="s">
        <v>212</v>
      </c>
      <c r="R171" t="str">
        <f>"КАЗАХСТАН, АКМОЛИНСКАЯ, СТЕПНОГОРСК, 23, 73"</f>
        <v>КАЗАХСТАН, АКМОЛИНСКАЯ, СТЕПНОГОРСК, 23, 73</v>
      </c>
      <c r="S171" t="str">
        <f>"ҚАЗАҚСТАН, АҚМОЛА, СТЕПНОГОР, 23, 73"</f>
        <v>ҚАЗАҚСТАН, АҚМОЛА, СТЕПНОГОР, 23, 73</v>
      </c>
      <c r="T171" t="str">
        <f>"23, 73"</f>
        <v>23, 73</v>
      </c>
      <c r="U171" t="str">
        <f>"23, 73"</f>
        <v>23, 73</v>
      </c>
      <c r="AC171" t="str">
        <f>"2022-08-25T00:00:00"</f>
        <v>2022-08-25T00:00:00</v>
      </c>
      <c r="AD171" t="str">
        <f>"102"</f>
        <v>102</v>
      </c>
      <c r="AG171" t="s">
        <v>202</v>
      </c>
      <c r="AH171" t="str">
        <f>"ckool007@mail.ru"</f>
        <v>ckool007@mail.ru</v>
      </c>
      <c r="AI171" t="s">
        <v>274</v>
      </c>
      <c r="AJ171" t="s">
        <v>795</v>
      </c>
      <c r="AK171" t="s">
        <v>205</v>
      </c>
      <c r="AL171" t="s">
        <v>206</v>
      </c>
      <c r="AN171" t="s">
        <v>207</v>
      </c>
      <c r="AO171">
        <v>1</v>
      </c>
      <c r="AP171" t="s">
        <v>208</v>
      </c>
      <c r="AQ171" t="s">
        <v>209</v>
      </c>
      <c r="AR171" t="s">
        <v>210</v>
      </c>
      <c r="AW171" t="s">
        <v>206</v>
      </c>
      <c r="AX171" t="s">
        <v>211</v>
      </c>
      <c r="AZ171" t="s">
        <v>209</v>
      </c>
      <c r="BI171" t="s">
        <v>212</v>
      </c>
      <c r="BJ171" t="s">
        <v>213</v>
      </c>
      <c r="BK171" t="s">
        <v>214</v>
      </c>
      <c r="BL171" t="s">
        <v>215</v>
      </c>
      <c r="BN171" t="s">
        <v>247</v>
      </c>
      <c r="BO171" t="s">
        <v>209</v>
      </c>
      <c r="BP171" t="s">
        <v>241</v>
      </c>
      <c r="BQ171">
        <v>3</v>
      </c>
      <c r="BS171" t="s">
        <v>219</v>
      </c>
      <c r="BT171" t="s">
        <v>220</v>
      </c>
      <c r="BU171" t="s">
        <v>206</v>
      </c>
      <c r="BX171" t="s">
        <v>221</v>
      </c>
      <c r="BY171" t="s">
        <v>221</v>
      </c>
      <c r="CA171" t="s">
        <v>263</v>
      </c>
      <c r="CB171" t="s">
        <v>223</v>
      </c>
      <c r="CC171" t="s">
        <v>222</v>
      </c>
      <c r="CD171" t="s">
        <v>223</v>
      </c>
      <c r="CE171" t="s">
        <v>242</v>
      </c>
      <c r="CJ171" t="s">
        <v>206</v>
      </c>
      <c r="CK171" t="s">
        <v>230</v>
      </c>
      <c r="CL171" t="s">
        <v>231</v>
      </c>
      <c r="CM171" t="s">
        <v>232</v>
      </c>
      <c r="CN171" t="s">
        <v>233</v>
      </c>
      <c r="CP171" t="s">
        <v>212</v>
      </c>
      <c r="CQ171" t="s">
        <v>212</v>
      </c>
      <c r="CR171" t="s">
        <v>212</v>
      </c>
      <c r="CS171" t="s">
        <v>212</v>
      </c>
      <c r="CY171" t="s">
        <v>212</v>
      </c>
      <c r="DB171" t="s">
        <v>234</v>
      </c>
      <c r="DE171" t="s">
        <v>212</v>
      </c>
      <c r="DF171" t="s">
        <v>212</v>
      </c>
      <c r="DG171" t="s">
        <v>235</v>
      </c>
      <c r="DH171" t="s">
        <v>212</v>
      </c>
      <c r="DJ171" t="s">
        <v>236</v>
      </c>
      <c r="DM171" t="s">
        <v>212</v>
      </c>
    </row>
    <row r="172" spans="1:117" x14ac:dyDescent="0.3">
      <c r="A172">
        <v>20896365</v>
      </c>
      <c r="B172">
        <v>805705</v>
      </c>
      <c r="C172" t="str">
        <f>"141208504823"</f>
        <v>141208504823</v>
      </c>
      <c r="D172" t="s">
        <v>796</v>
      </c>
      <c r="E172" t="s">
        <v>602</v>
      </c>
      <c r="F172" t="s">
        <v>797</v>
      </c>
      <c r="G172" s="1">
        <v>41981</v>
      </c>
      <c r="I172" t="s">
        <v>240</v>
      </c>
      <c r="J172" t="s">
        <v>200</v>
      </c>
      <c r="K172" t="s">
        <v>201</v>
      </c>
      <c r="R172" t="str">
        <f>"КАЗАХСТАН, АКМОЛИНСКАЯ, СТЕПНОГОРСК, 30, 54"</f>
        <v>КАЗАХСТАН, АКМОЛИНСКАЯ, СТЕПНОГОРСК, 30, 54</v>
      </c>
      <c r="S172" t="str">
        <f>"ҚАЗАҚСТАН, АҚМОЛА, СТЕПНОГОР, 30, 54"</f>
        <v>ҚАЗАҚСТАН, АҚМОЛА, СТЕПНОГОР, 30, 54</v>
      </c>
      <c r="T172" t="str">
        <f>"30, 54"</f>
        <v>30, 54</v>
      </c>
      <c r="U172" t="str">
        <f>"30, 54"</f>
        <v>30, 54</v>
      </c>
      <c r="AC172" t="str">
        <f>"2021-08-28T00:00:00"</f>
        <v>2021-08-28T00:00:00</v>
      </c>
      <c r="AD172" t="str">
        <f>"135"</f>
        <v>135</v>
      </c>
      <c r="AE172" t="str">
        <f>"2023-09-01T23:21:38"</f>
        <v>2023-09-01T23:21:38</v>
      </c>
      <c r="AF172" t="str">
        <f>"2024-05-25T23:21:38"</f>
        <v>2024-05-25T23:21:38</v>
      </c>
      <c r="AG172" t="s">
        <v>202</v>
      </c>
      <c r="AI172" t="s">
        <v>299</v>
      </c>
      <c r="AJ172" t="s">
        <v>540</v>
      </c>
      <c r="AK172" t="s">
        <v>205</v>
      </c>
      <c r="AL172" t="s">
        <v>206</v>
      </c>
      <c r="AN172" t="s">
        <v>207</v>
      </c>
      <c r="AO172">
        <v>2</v>
      </c>
      <c r="AP172" t="s">
        <v>208</v>
      </c>
      <c r="AQ172" t="s">
        <v>209</v>
      </c>
      <c r="AR172" t="s">
        <v>502</v>
      </c>
      <c r="AW172" t="s">
        <v>212</v>
      </c>
      <c r="AZ172" t="s">
        <v>209</v>
      </c>
      <c r="BI172" t="s">
        <v>212</v>
      </c>
      <c r="BJ172" t="s">
        <v>213</v>
      </c>
      <c r="BK172" t="s">
        <v>214</v>
      </c>
      <c r="BL172" t="s">
        <v>357</v>
      </c>
      <c r="BN172" t="s">
        <v>216</v>
      </c>
      <c r="BO172" t="s">
        <v>209</v>
      </c>
      <c r="BP172" t="s">
        <v>241</v>
      </c>
      <c r="BQ172">
        <v>4</v>
      </c>
      <c r="BS172" t="s">
        <v>219</v>
      </c>
      <c r="BT172" t="s">
        <v>220</v>
      </c>
      <c r="BU172" t="s">
        <v>206</v>
      </c>
      <c r="BZ172" t="s">
        <v>541</v>
      </c>
      <c r="CA172" t="s">
        <v>287</v>
      </c>
      <c r="CC172" t="s">
        <v>222</v>
      </c>
      <c r="CD172" t="s">
        <v>223</v>
      </c>
      <c r="CE172" t="s">
        <v>242</v>
      </c>
      <c r="CJ172" t="s">
        <v>206</v>
      </c>
      <c r="CK172" t="s">
        <v>230</v>
      </c>
      <c r="CL172" t="s">
        <v>231</v>
      </c>
      <c r="CM172" t="s">
        <v>232</v>
      </c>
      <c r="CN172" t="s">
        <v>233</v>
      </c>
      <c r="CP172" t="s">
        <v>212</v>
      </c>
      <c r="CQ172" t="s">
        <v>212</v>
      </c>
      <c r="CR172" t="s">
        <v>212</v>
      </c>
      <c r="CS172" t="s">
        <v>212</v>
      </c>
      <c r="CY172" t="s">
        <v>212</v>
      </c>
      <c r="DB172" t="s">
        <v>234</v>
      </c>
      <c r="DE172" t="s">
        <v>212</v>
      </c>
      <c r="DF172" t="s">
        <v>212</v>
      </c>
      <c r="DG172" t="s">
        <v>235</v>
      </c>
      <c r="DH172" t="s">
        <v>212</v>
      </c>
      <c r="DJ172" t="s">
        <v>236</v>
      </c>
      <c r="DM172" t="s">
        <v>212</v>
      </c>
    </row>
    <row r="173" spans="1:117" x14ac:dyDescent="0.3">
      <c r="A173">
        <v>20895807</v>
      </c>
      <c r="B173">
        <v>862925</v>
      </c>
      <c r="C173" t="str">
        <f>"150715500228"</f>
        <v>150715500228</v>
      </c>
      <c r="D173" t="s">
        <v>798</v>
      </c>
      <c r="E173" t="s">
        <v>799</v>
      </c>
      <c r="F173" t="s">
        <v>800</v>
      </c>
      <c r="G173" s="1">
        <v>42200</v>
      </c>
      <c r="I173" t="s">
        <v>240</v>
      </c>
      <c r="J173" t="s">
        <v>200</v>
      </c>
      <c r="K173" t="s">
        <v>201</v>
      </c>
      <c r="R173" t="str">
        <f>"КАЗАХСТАН, АКМОЛИНСКАЯ, СТЕПНОГОРСК, 157"</f>
        <v>КАЗАХСТАН, АКМОЛИНСКАЯ, СТЕПНОГОРСК, 157</v>
      </c>
      <c r="S173" t="str">
        <f>"ҚАЗАҚСТАН, АҚМОЛА, СТЕПНОГОР, 157"</f>
        <v>ҚАЗАҚСТАН, АҚМОЛА, СТЕПНОГОР, 157</v>
      </c>
      <c r="T173" t="str">
        <f>"157"</f>
        <v>157</v>
      </c>
      <c r="U173" t="str">
        <f>"157"</f>
        <v>157</v>
      </c>
      <c r="AC173" t="str">
        <f>"2021-08-28T00:00:00"</f>
        <v>2021-08-28T00:00:00</v>
      </c>
      <c r="AD173" t="str">
        <f>"135"</f>
        <v>135</v>
      </c>
      <c r="AG173" t="s">
        <v>202</v>
      </c>
      <c r="AI173" t="s">
        <v>299</v>
      </c>
      <c r="AJ173" t="s">
        <v>540</v>
      </c>
      <c r="AK173" t="s">
        <v>205</v>
      </c>
      <c r="AL173" t="s">
        <v>206</v>
      </c>
      <c r="AN173" t="s">
        <v>207</v>
      </c>
      <c r="AO173">
        <v>2</v>
      </c>
      <c r="AP173" t="s">
        <v>208</v>
      </c>
      <c r="AQ173" t="s">
        <v>209</v>
      </c>
      <c r="AR173" t="s">
        <v>502</v>
      </c>
      <c r="AW173" t="s">
        <v>212</v>
      </c>
      <c r="AZ173" t="s">
        <v>209</v>
      </c>
      <c r="BI173" t="s">
        <v>212</v>
      </c>
      <c r="BJ173" t="s">
        <v>213</v>
      </c>
      <c r="BK173" t="s">
        <v>214</v>
      </c>
      <c r="BL173" t="s">
        <v>357</v>
      </c>
      <c r="BN173" t="s">
        <v>247</v>
      </c>
      <c r="BO173" t="s">
        <v>209</v>
      </c>
      <c r="BP173" t="s">
        <v>241</v>
      </c>
      <c r="BQ173">
        <v>4</v>
      </c>
      <c r="BS173" t="s">
        <v>219</v>
      </c>
      <c r="BT173" t="s">
        <v>220</v>
      </c>
      <c r="BU173" t="s">
        <v>206</v>
      </c>
      <c r="BZ173" t="s">
        <v>541</v>
      </c>
      <c r="CA173" t="s">
        <v>287</v>
      </c>
      <c r="CC173" t="s">
        <v>222</v>
      </c>
      <c r="CD173" t="s">
        <v>223</v>
      </c>
      <c r="CE173" t="s">
        <v>242</v>
      </c>
      <c r="CJ173" t="s">
        <v>206</v>
      </c>
      <c r="CK173" t="s">
        <v>230</v>
      </c>
      <c r="CL173" t="s">
        <v>231</v>
      </c>
      <c r="CM173" t="s">
        <v>232</v>
      </c>
      <c r="CN173" t="s">
        <v>233</v>
      </c>
      <c r="CP173" t="s">
        <v>212</v>
      </c>
      <c r="CQ173" t="s">
        <v>212</v>
      </c>
      <c r="CR173" t="s">
        <v>212</v>
      </c>
      <c r="CS173" t="s">
        <v>212</v>
      </c>
      <c r="CY173" t="s">
        <v>212</v>
      </c>
      <c r="DB173" t="s">
        <v>234</v>
      </c>
      <c r="DE173" t="s">
        <v>212</v>
      </c>
      <c r="DF173" t="s">
        <v>212</v>
      </c>
      <c r="DG173" t="s">
        <v>235</v>
      </c>
      <c r="DH173" t="s">
        <v>212</v>
      </c>
      <c r="DJ173" t="s">
        <v>236</v>
      </c>
      <c r="DM173" t="s">
        <v>206</v>
      </c>
    </row>
    <row r="174" spans="1:117" x14ac:dyDescent="0.3">
      <c r="A174">
        <v>20883128</v>
      </c>
      <c r="B174">
        <v>768765</v>
      </c>
      <c r="C174" t="str">
        <f>"141009500200"</f>
        <v>141009500200</v>
      </c>
      <c r="D174" t="s">
        <v>801</v>
      </c>
      <c r="E174" t="s">
        <v>802</v>
      </c>
      <c r="G174" s="1">
        <v>41921</v>
      </c>
      <c r="I174" t="s">
        <v>240</v>
      </c>
      <c r="J174" t="s">
        <v>200</v>
      </c>
      <c r="K174" t="s">
        <v>201</v>
      </c>
      <c r="L174" t="s">
        <v>212</v>
      </c>
      <c r="Q174" t="s">
        <v>212</v>
      </c>
      <c r="R174" t="str">
        <f>"КАЗАХСТАН, АКМОЛИНСКАЯ, СТЕПНОГОРСК, 23, 4"</f>
        <v>КАЗАХСТАН, АКМОЛИНСКАЯ, СТЕПНОГОРСК, 23, 4</v>
      </c>
      <c r="S174" t="str">
        <f>"ҚАЗАҚСТАН, АҚМОЛА, СТЕПНОГОР, 23, 4"</f>
        <v>ҚАЗАҚСТАН, АҚМОЛА, СТЕПНОГОР, 23, 4</v>
      </c>
      <c r="T174" t="str">
        <f>"23, 4"</f>
        <v>23, 4</v>
      </c>
      <c r="U174" t="str">
        <f>"23, 4"</f>
        <v>23, 4</v>
      </c>
      <c r="AC174" t="str">
        <f>"2021-08-25T00:00:00"</f>
        <v>2021-08-25T00:00:00</v>
      </c>
      <c r="AD174" t="str">
        <f>"136"</f>
        <v>136</v>
      </c>
      <c r="AE174" t="str">
        <f>"2023-09-01T23:17:20"</f>
        <v>2023-09-01T23:17:20</v>
      </c>
      <c r="AF174" t="str">
        <f>"2024-05-25T23:17:20"</f>
        <v>2024-05-25T23:17:20</v>
      </c>
      <c r="AG174" t="s">
        <v>202</v>
      </c>
      <c r="AI174" t="s">
        <v>269</v>
      </c>
      <c r="AJ174" t="s">
        <v>540</v>
      </c>
      <c r="AK174" t="s">
        <v>253</v>
      </c>
      <c r="AL174" t="s">
        <v>206</v>
      </c>
      <c r="AN174" t="s">
        <v>254</v>
      </c>
      <c r="AO174">
        <v>2</v>
      </c>
      <c r="AP174" t="s">
        <v>208</v>
      </c>
      <c r="AQ174" t="s">
        <v>209</v>
      </c>
      <c r="AR174" t="s">
        <v>502</v>
      </c>
      <c r="AW174" t="s">
        <v>212</v>
      </c>
      <c r="AZ174" t="s">
        <v>209</v>
      </c>
      <c r="BI174" t="s">
        <v>212</v>
      </c>
      <c r="BJ174" t="s">
        <v>213</v>
      </c>
      <c r="BK174" t="s">
        <v>214</v>
      </c>
      <c r="BL174" t="s">
        <v>357</v>
      </c>
      <c r="BN174" t="s">
        <v>216</v>
      </c>
      <c r="BO174" t="s">
        <v>209</v>
      </c>
      <c r="BP174" t="s">
        <v>241</v>
      </c>
      <c r="BQ174">
        <v>4</v>
      </c>
      <c r="BS174" t="s">
        <v>219</v>
      </c>
      <c r="BT174" t="s">
        <v>220</v>
      </c>
      <c r="BU174" t="s">
        <v>206</v>
      </c>
      <c r="BZ174" t="s">
        <v>541</v>
      </c>
      <c r="CA174" t="s">
        <v>287</v>
      </c>
      <c r="CC174" t="s">
        <v>222</v>
      </c>
      <c r="CD174" t="s">
        <v>223</v>
      </c>
      <c r="CE174" t="s">
        <v>242</v>
      </c>
      <c r="CJ174" t="s">
        <v>206</v>
      </c>
      <c r="CK174" t="s">
        <v>230</v>
      </c>
      <c r="CL174" t="s">
        <v>231</v>
      </c>
      <c r="CM174" t="s">
        <v>232</v>
      </c>
      <c r="CN174" t="s">
        <v>233</v>
      </c>
      <c r="CP174" t="s">
        <v>212</v>
      </c>
      <c r="CQ174" t="s">
        <v>212</v>
      </c>
      <c r="CR174" t="s">
        <v>212</v>
      </c>
      <c r="CS174" t="s">
        <v>212</v>
      </c>
      <c r="CY174" t="s">
        <v>212</v>
      </c>
      <c r="DB174" t="s">
        <v>234</v>
      </c>
      <c r="DE174" t="s">
        <v>212</v>
      </c>
      <c r="DF174" t="s">
        <v>212</v>
      </c>
      <c r="DG174" t="s">
        <v>235</v>
      </c>
      <c r="DH174" t="s">
        <v>212</v>
      </c>
      <c r="DJ174" t="s">
        <v>236</v>
      </c>
      <c r="DM174" t="s">
        <v>212</v>
      </c>
    </row>
    <row r="175" spans="1:117" x14ac:dyDescent="0.3">
      <c r="A175">
        <v>20862794</v>
      </c>
      <c r="B175">
        <v>184868</v>
      </c>
      <c r="C175" t="str">
        <f>"110211502623"</f>
        <v>110211502623</v>
      </c>
      <c r="D175" t="s">
        <v>739</v>
      </c>
      <c r="E175" t="s">
        <v>238</v>
      </c>
      <c r="F175" t="s">
        <v>803</v>
      </c>
      <c r="G175" s="1">
        <v>40585</v>
      </c>
      <c r="I175" t="s">
        <v>240</v>
      </c>
      <c r="J175" t="s">
        <v>200</v>
      </c>
      <c r="K175" t="s">
        <v>201</v>
      </c>
      <c r="R175" t="str">
        <f>"КАЗАХСТАН, АКМОЛИНСКАЯ, СТЕПНОГОРСК, Бестобе, 4, 13"</f>
        <v>КАЗАХСТАН, АКМОЛИНСКАЯ, СТЕПНОГОРСК, Бестобе, 4, 13</v>
      </c>
      <c r="S175" t="str">
        <f>"ҚАЗАҚСТАН, АҚМОЛА, СТЕПНОГОР, Бестобе, 4, 13"</f>
        <v>ҚАЗАҚСТАН, АҚМОЛА, СТЕПНОГОР, Бестобе, 4, 13</v>
      </c>
      <c r="T175" t="str">
        <f>"Бестобе, 4, 13"</f>
        <v>Бестобе, 4, 13</v>
      </c>
      <c r="U175" t="str">
        <f>"Бестобе, 4, 13"</f>
        <v>Бестобе, 4, 13</v>
      </c>
      <c r="AC175" t="str">
        <f>"2021-09-07T00:00:00"</f>
        <v>2021-09-07T00:00:00</v>
      </c>
      <c r="AD175" t="str">
        <f>"151"</f>
        <v>151</v>
      </c>
      <c r="AG175" t="s">
        <v>202</v>
      </c>
      <c r="AI175" t="s">
        <v>274</v>
      </c>
      <c r="AJ175" t="s">
        <v>300</v>
      </c>
      <c r="AK175" t="s">
        <v>253</v>
      </c>
      <c r="AL175" t="s">
        <v>206</v>
      </c>
      <c r="AN175" t="s">
        <v>254</v>
      </c>
      <c r="AO175">
        <v>1</v>
      </c>
      <c r="AP175" t="s">
        <v>208</v>
      </c>
      <c r="AQ175" t="s">
        <v>209</v>
      </c>
      <c r="AR175" t="s">
        <v>210</v>
      </c>
      <c r="AW175" t="s">
        <v>206</v>
      </c>
      <c r="AX175" t="s">
        <v>211</v>
      </c>
      <c r="AZ175" t="s">
        <v>209</v>
      </c>
      <c r="BI175" t="s">
        <v>212</v>
      </c>
      <c r="BJ175" t="s">
        <v>213</v>
      </c>
      <c r="BK175" t="s">
        <v>214</v>
      </c>
      <c r="BL175" t="s">
        <v>215</v>
      </c>
      <c r="BN175" t="s">
        <v>247</v>
      </c>
      <c r="BO175" t="s">
        <v>209</v>
      </c>
      <c r="BP175" t="s">
        <v>241</v>
      </c>
      <c r="BQ175">
        <v>3</v>
      </c>
      <c r="BS175" t="s">
        <v>219</v>
      </c>
      <c r="BT175" t="s">
        <v>220</v>
      </c>
      <c r="BU175" t="s">
        <v>206</v>
      </c>
      <c r="CA175" t="s">
        <v>287</v>
      </c>
      <c r="CC175" t="s">
        <v>222</v>
      </c>
      <c r="CD175" t="s">
        <v>223</v>
      </c>
      <c r="CE175" t="s">
        <v>242</v>
      </c>
      <c r="CJ175" t="s">
        <v>206</v>
      </c>
      <c r="CK175" t="s">
        <v>230</v>
      </c>
      <c r="CL175" t="s">
        <v>231</v>
      </c>
      <c r="CM175" t="s">
        <v>232</v>
      </c>
      <c r="CN175" t="s">
        <v>233</v>
      </c>
      <c r="CP175" t="s">
        <v>212</v>
      </c>
      <c r="CQ175" t="s">
        <v>212</v>
      </c>
      <c r="CR175" t="s">
        <v>212</v>
      </c>
      <c r="CS175" t="s">
        <v>212</v>
      </c>
      <c r="CY175" t="s">
        <v>212</v>
      </c>
      <c r="DB175" t="s">
        <v>234</v>
      </c>
      <c r="DE175" t="s">
        <v>212</v>
      </c>
      <c r="DF175" t="s">
        <v>212</v>
      </c>
      <c r="DG175" t="s">
        <v>235</v>
      </c>
      <c r="DH175" t="s">
        <v>212</v>
      </c>
      <c r="DJ175" t="s">
        <v>236</v>
      </c>
      <c r="DM175" t="s">
        <v>212</v>
      </c>
    </row>
    <row r="176" spans="1:117" x14ac:dyDescent="0.3">
      <c r="A176">
        <v>20704010</v>
      </c>
      <c r="B176">
        <v>321860</v>
      </c>
      <c r="C176" t="str">
        <f>"120712601449"</f>
        <v>120712601449</v>
      </c>
      <c r="D176" t="s">
        <v>804</v>
      </c>
      <c r="E176" t="s">
        <v>560</v>
      </c>
      <c r="F176" t="s">
        <v>805</v>
      </c>
      <c r="G176" s="1">
        <v>41102</v>
      </c>
      <c r="I176" t="s">
        <v>199</v>
      </c>
      <c r="J176" t="s">
        <v>200</v>
      </c>
      <c r="K176" t="s">
        <v>806</v>
      </c>
      <c r="Q176" t="s">
        <v>212</v>
      </c>
      <c r="R176" t="str">
        <f>"КАЗАХСТАН, АКМОЛИНСКАЯ, СТЕПНОГОРСК, 26, 17"</f>
        <v>КАЗАХСТАН, АКМОЛИНСКАЯ, СТЕПНОГОРСК, 26, 17</v>
      </c>
      <c r="S176" t="str">
        <f>"ҚАЗАҚСТАН, АҚМОЛА, СТЕПНОГОР, 26, 17"</f>
        <v>ҚАЗАҚСТАН, АҚМОЛА, СТЕПНОГОР, 26, 17</v>
      </c>
      <c r="T176" t="str">
        <f>"26, 17"</f>
        <v>26, 17</v>
      </c>
      <c r="U176" t="str">
        <f>"26, 17"</f>
        <v>26, 17</v>
      </c>
      <c r="AC176" t="str">
        <f>"2021-08-31T00:00:00"</f>
        <v>2021-08-31T00:00:00</v>
      </c>
      <c r="AD176" t="str">
        <f>"135"</f>
        <v>135</v>
      </c>
      <c r="AG176" t="s">
        <v>202</v>
      </c>
      <c r="AI176" t="s">
        <v>269</v>
      </c>
      <c r="AJ176" t="s">
        <v>348</v>
      </c>
      <c r="AK176" t="s">
        <v>261</v>
      </c>
      <c r="AL176" t="s">
        <v>206</v>
      </c>
      <c r="AN176" t="s">
        <v>207</v>
      </c>
      <c r="AO176">
        <v>1</v>
      </c>
      <c r="AP176" t="s">
        <v>208</v>
      </c>
      <c r="AQ176" t="s">
        <v>209</v>
      </c>
      <c r="AR176" t="s">
        <v>412</v>
      </c>
      <c r="AW176" t="s">
        <v>206</v>
      </c>
      <c r="AX176" t="s">
        <v>211</v>
      </c>
      <c r="AZ176" t="s">
        <v>209</v>
      </c>
      <c r="BI176" t="s">
        <v>212</v>
      </c>
      <c r="BJ176" t="s">
        <v>213</v>
      </c>
      <c r="BK176" t="s">
        <v>214</v>
      </c>
      <c r="BL176" t="s">
        <v>215</v>
      </c>
      <c r="BN176" t="s">
        <v>216</v>
      </c>
      <c r="BO176" t="s">
        <v>209</v>
      </c>
      <c r="BP176" t="s">
        <v>241</v>
      </c>
      <c r="BQ176">
        <v>4</v>
      </c>
      <c r="BS176" t="s">
        <v>219</v>
      </c>
      <c r="BT176" t="s">
        <v>220</v>
      </c>
      <c r="BU176" t="s">
        <v>206</v>
      </c>
      <c r="BX176" t="s">
        <v>234</v>
      </c>
      <c r="BY176" t="s">
        <v>234</v>
      </c>
      <c r="CA176" t="s">
        <v>287</v>
      </c>
      <c r="CC176" t="s">
        <v>353</v>
      </c>
      <c r="CD176" t="s">
        <v>223</v>
      </c>
      <c r="CE176" t="s">
        <v>242</v>
      </c>
      <c r="CJ176" t="s">
        <v>206</v>
      </c>
      <c r="CK176" t="s">
        <v>230</v>
      </c>
      <c r="CL176" t="s">
        <v>231</v>
      </c>
      <c r="CM176" t="s">
        <v>232</v>
      </c>
      <c r="CN176" t="s">
        <v>233</v>
      </c>
      <c r="CP176" t="s">
        <v>212</v>
      </c>
      <c r="CQ176" t="s">
        <v>212</v>
      </c>
      <c r="CR176" t="s">
        <v>212</v>
      </c>
      <c r="CS176" t="s">
        <v>212</v>
      </c>
      <c r="CY176" t="s">
        <v>212</v>
      </c>
      <c r="DB176" t="s">
        <v>234</v>
      </c>
      <c r="DE176" t="s">
        <v>212</v>
      </c>
      <c r="DF176" t="s">
        <v>212</v>
      </c>
      <c r="DG176" t="s">
        <v>235</v>
      </c>
      <c r="DH176" t="s">
        <v>212</v>
      </c>
      <c r="DJ176" t="s">
        <v>236</v>
      </c>
      <c r="DM176" t="s">
        <v>212</v>
      </c>
    </row>
    <row r="177" spans="1:184" x14ac:dyDescent="0.3">
      <c r="A177">
        <v>20599780</v>
      </c>
      <c r="B177">
        <v>859652</v>
      </c>
      <c r="C177" t="str">
        <f>"131116603717"</f>
        <v>131116603717</v>
      </c>
      <c r="D177" t="s">
        <v>807</v>
      </c>
      <c r="E177" t="s">
        <v>389</v>
      </c>
      <c r="F177" t="s">
        <v>808</v>
      </c>
      <c r="G177" s="1">
        <v>41594</v>
      </c>
      <c r="I177" t="s">
        <v>199</v>
      </c>
      <c r="J177" t="s">
        <v>200</v>
      </c>
      <c r="K177" t="s">
        <v>201</v>
      </c>
      <c r="Q177" t="s">
        <v>212</v>
      </c>
      <c r="R177" t="str">
        <f>"КАЗАХСТАН, АКМОЛИНСКАЯ, СТЕПНОГОРСК, 31, 3"</f>
        <v>КАЗАХСТАН, АКМОЛИНСКАЯ, СТЕПНОГОРСК, 31, 3</v>
      </c>
      <c r="S177" t="str">
        <f>"ҚАЗАҚСТАН, АҚМОЛА, СТЕПНОГОР, 31, 3"</f>
        <v>ҚАЗАҚСТАН, АҚМОЛА, СТЕПНОГОР, 31, 3</v>
      </c>
      <c r="T177" t="str">
        <f>"31, 3"</f>
        <v>31, 3</v>
      </c>
      <c r="U177" t="str">
        <f>"31, 3"</f>
        <v>31, 3</v>
      </c>
      <c r="AC177" t="str">
        <f>"2021-08-20T00:00:00"</f>
        <v>2021-08-20T00:00:00</v>
      </c>
      <c r="AD177" t="str">
        <f>"124"</f>
        <v>124</v>
      </c>
      <c r="AG177" t="s">
        <v>202</v>
      </c>
      <c r="AI177" t="s">
        <v>299</v>
      </c>
      <c r="AJ177" t="s">
        <v>501</v>
      </c>
      <c r="AK177" t="s">
        <v>261</v>
      </c>
      <c r="AL177" t="s">
        <v>206</v>
      </c>
      <c r="AN177" t="s">
        <v>207</v>
      </c>
      <c r="AO177">
        <v>1</v>
      </c>
      <c r="AP177" t="s">
        <v>208</v>
      </c>
      <c r="AQ177" t="s">
        <v>209</v>
      </c>
      <c r="AR177" t="s">
        <v>502</v>
      </c>
      <c r="AW177" t="s">
        <v>212</v>
      </c>
      <c r="AZ177" t="s">
        <v>209</v>
      </c>
      <c r="BI177" t="s">
        <v>212</v>
      </c>
      <c r="BJ177" t="s">
        <v>213</v>
      </c>
      <c r="BK177" t="s">
        <v>214</v>
      </c>
      <c r="BL177" t="s">
        <v>357</v>
      </c>
      <c r="BN177" t="s">
        <v>247</v>
      </c>
      <c r="BO177" t="s">
        <v>209</v>
      </c>
      <c r="BP177" t="s">
        <v>415</v>
      </c>
      <c r="BQ177" t="s">
        <v>416</v>
      </c>
      <c r="BS177" t="s">
        <v>219</v>
      </c>
      <c r="BT177" t="s">
        <v>220</v>
      </c>
      <c r="BU177" t="s">
        <v>206</v>
      </c>
      <c r="BZ177" t="s">
        <v>503</v>
      </c>
      <c r="CA177" t="s">
        <v>287</v>
      </c>
      <c r="CC177" t="s">
        <v>809</v>
      </c>
      <c r="CD177" t="s">
        <v>810</v>
      </c>
      <c r="CE177" t="s">
        <v>242</v>
      </c>
      <c r="CJ177" t="s">
        <v>206</v>
      </c>
      <c r="CK177" t="s">
        <v>230</v>
      </c>
      <c r="CL177" t="s">
        <v>231</v>
      </c>
      <c r="CM177" t="s">
        <v>232</v>
      </c>
      <c r="CN177" t="s">
        <v>233</v>
      </c>
      <c r="CP177" t="s">
        <v>212</v>
      </c>
      <c r="CQ177" t="s">
        <v>212</v>
      </c>
      <c r="CR177" t="s">
        <v>212</v>
      </c>
      <c r="CS177" t="s">
        <v>212</v>
      </c>
      <c r="CY177" t="s">
        <v>212</v>
      </c>
      <c r="DB177" t="s">
        <v>683</v>
      </c>
      <c r="DC177" t="str">
        <f>"№345 Задержка психического развития. Нерезко-выраженное  общее недоразвитие речи."</f>
        <v>№345 Задержка психического развития. Нерезко-выраженное  общее недоразвитие речи.</v>
      </c>
      <c r="DD177" t="str">
        <f>"2023-04-25T00:00:00"</f>
        <v>2023-04-25T00:00:00</v>
      </c>
      <c r="DE177" t="s">
        <v>212</v>
      </c>
      <c r="DF177" t="s">
        <v>206</v>
      </c>
      <c r="DG177" t="s">
        <v>235</v>
      </c>
      <c r="DH177" t="s">
        <v>212</v>
      </c>
      <c r="DJ177" t="s">
        <v>236</v>
      </c>
      <c r="DM177" t="s">
        <v>212</v>
      </c>
    </row>
    <row r="178" spans="1:184" x14ac:dyDescent="0.3">
      <c r="A178">
        <v>20557657</v>
      </c>
      <c r="B178">
        <v>8785176</v>
      </c>
      <c r="C178" t="str">
        <f>"140625606321"</f>
        <v>140625606321</v>
      </c>
      <c r="D178" t="s">
        <v>759</v>
      </c>
      <c r="E178" t="s">
        <v>811</v>
      </c>
      <c r="F178" t="s">
        <v>761</v>
      </c>
      <c r="G178" s="1">
        <v>41815</v>
      </c>
      <c r="I178" t="s">
        <v>199</v>
      </c>
      <c r="J178" t="s">
        <v>200</v>
      </c>
      <c r="K178" t="s">
        <v>201</v>
      </c>
      <c r="Q178" t="s">
        <v>212</v>
      </c>
      <c r="R178" t="str">
        <f>"КАЗАХСТАН, АКМОЛИНСКАЯ, СТЕПНОГОРСК, Бестобе, 14, 24"</f>
        <v>КАЗАХСТАН, АКМОЛИНСКАЯ, СТЕПНОГОРСК, Бестобе, 14, 24</v>
      </c>
      <c r="S178" t="str">
        <f>"ҚАЗАҚСТАН, АҚМОЛА, СТЕПНОГОР, Бестобе, 14, 24"</f>
        <v>ҚАЗАҚСТАН, АҚМОЛА, СТЕПНОГОР, Бестобе, 14, 24</v>
      </c>
      <c r="T178" t="str">
        <f>"Бестобе, 14, 24"</f>
        <v>Бестобе, 14, 24</v>
      </c>
      <c r="U178" t="str">
        <f>"Бестобе, 14, 24"</f>
        <v>Бестобе, 14, 24</v>
      </c>
      <c r="AC178" t="str">
        <f>"2021-08-17T00:00:00"</f>
        <v>2021-08-17T00:00:00</v>
      </c>
      <c r="AD178" t="str">
        <f>"117"</f>
        <v>117</v>
      </c>
      <c r="AE178" t="str">
        <f>"2023-09-01T23:34:42"</f>
        <v>2023-09-01T23:34:42</v>
      </c>
      <c r="AF178" t="str">
        <f>"2024-05-25T23:34:42"</f>
        <v>2024-05-25T23:34:42</v>
      </c>
      <c r="AG178" t="s">
        <v>202</v>
      </c>
      <c r="AI178" t="s">
        <v>269</v>
      </c>
      <c r="AJ178" t="s">
        <v>501</v>
      </c>
      <c r="AK178" t="s">
        <v>253</v>
      </c>
      <c r="AL178" t="s">
        <v>206</v>
      </c>
      <c r="AN178" t="s">
        <v>254</v>
      </c>
      <c r="AO178">
        <v>1</v>
      </c>
      <c r="AP178" t="s">
        <v>208</v>
      </c>
      <c r="AQ178" t="s">
        <v>209</v>
      </c>
      <c r="AR178" t="s">
        <v>502</v>
      </c>
      <c r="AW178" t="s">
        <v>212</v>
      </c>
      <c r="AZ178" t="s">
        <v>209</v>
      </c>
      <c r="BI178" t="s">
        <v>212</v>
      </c>
      <c r="BJ178" t="s">
        <v>213</v>
      </c>
      <c r="BK178" t="s">
        <v>214</v>
      </c>
      <c r="BL178" t="s">
        <v>357</v>
      </c>
      <c r="BN178" t="s">
        <v>247</v>
      </c>
      <c r="BO178" t="s">
        <v>209</v>
      </c>
      <c r="BP178" t="s">
        <v>241</v>
      </c>
      <c r="BQ178">
        <v>3</v>
      </c>
      <c r="BS178" t="s">
        <v>219</v>
      </c>
      <c r="BT178" t="s">
        <v>220</v>
      </c>
      <c r="BU178" t="s">
        <v>206</v>
      </c>
      <c r="BZ178" t="s">
        <v>503</v>
      </c>
      <c r="CA178" t="s">
        <v>287</v>
      </c>
      <c r="CC178" t="s">
        <v>222</v>
      </c>
      <c r="CD178" t="s">
        <v>223</v>
      </c>
      <c r="CE178" t="s">
        <v>242</v>
      </c>
      <c r="CJ178" t="s">
        <v>206</v>
      </c>
      <c r="CK178" t="s">
        <v>230</v>
      </c>
      <c r="CL178" t="s">
        <v>231</v>
      </c>
      <c r="CM178" t="s">
        <v>232</v>
      </c>
      <c r="CN178" t="s">
        <v>233</v>
      </c>
      <c r="CP178" t="s">
        <v>212</v>
      </c>
      <c r="CQ178" t="s">
        <v>212</v>
      </c>
      <c r="CR178" t="s">
        <v>212</v>
      </c>
      <c r="CS178" t="s">
        <v>212</v>
      </c>
      <c r="CY178" t="s">
        <v>212</v>
      </c>
      <c r="DB178" t="s">
        <v>683</v>
      </c>
      <c r="DC178" t="str">
        <f>"№347 Задержка психического развития."</f>
        <v>№347 Задержка психического развития.</v>
      </c>
      <c r="DD178" t="str">
        <f>"2023-04-25T00:00:00"</f>
        <v>2023-04-25T00:00:00</v>
      </c>
      <c r="DE178" t="s">
        <v>212</v>
      </c>
      <c r="DF178" t="s">
        <v>212</v>
      </c>
      <c r="DG178" t="s">
        <v>235</v>
      </c>
      <c r="DH178" t="s">
        <v>212</v>
      </c>
      <c r="DJ178" t="s">
        <v>236</v>
      </c>
      <c r="DM178" t="s">
        <v>212</v>
      </c>
    </row>
    <row r="179" spans="1:184" x14ac:dyDescent="0.3">
      <c r="A179">
        <v>20465907</v>
      </c>
      <c r="B179">
        <v>8919681</v>
      </c>
      <c r="C179" t="str">
        <f>"121003604085"</f>
        <v>121003604085</v>
      </c>
      <c r="D179" t="s">
        <v>812</v>
      </c>
      <c r="E179" t="s">
        <v>505</v>
      </c>
      <c r="F179" t="s">
        <v>813</v>
      </c>
      <c r="G179" s="1">
        <v>41185</v>
      </c>
      <c r="I179" t="s">
        <v>199</v>
      </c>
      <c r="J179" t="s">
        <v>200</v>
      </c>
      <c r="K179" t="s">
        <v>814</v>
      </c>
      <c r="Q179" t="s">
        <v>212</v>
      </c>
      <c r="R179" t="str">
        <f>"КАЗАХСТАН, АКМОЛИНСКАЯ, АККОЛЬСКИЙ РАЙОН, СТЕПНОГОРСКИЙ, -, -"</f>
        <v>КАЗАХСТАН, АКМОЛИНСКАЯ, АККОЛЬСКИЙ РАЙОН, СТЕПНОГОРСКИЙ, -, -</v>
      </c>
      <c r="S179" t="str">
        <f>"ҚАЗАҚСТАН, АҚМОЛА, АҚКӨЛ АУДАНЫ, СТЕПНОГОРСКИЙ, -, -"</f>
        <v>ҚАЗАҚСТАН, АҚМОЛА, АҚКӨЛ АУДАНЫ, СТЕПНОГОРСКИЙ, -, -</v>
      </c>
      <c r="T179" t="str">
        <f>"СТЕПНОГОРСКИЙ, -, -"</f>
        <v>СТЕПНОГОРСКИЙ, -, -</v>
      </c>
      <c r="U179" t="str">
        <f>"СТЕПНОГОРСКИЙ, -, -"</f>
        <v>СТЕПНОГОРСКИЙ, -, -</v>
      </c>
      <c r="AC179" t="str">
        <f>"2021-08-26T00:00:00"</f>
        <v>2021-08-26T00:00:00</v>
      </c>
      <c r="AD179" t="str">
        <f>"132"</f>
        <v>132</v>
      </c>
      <c r="AG179" t="s">
        <v>333</v>
      </c>
      <c r="AI179" t="s">
        <v>274</v>
      </c>
      <c r="AJ179" t="s">
        <v>419</v>
      </c>
      <c r="AK179" t="s">
        <v>261</v>
      </c>
      <c r="AL179" t="s">
        <v>206</v>
      </c>
      <c r="AN179" t="s">
        <v>207</v>
      </c>
      <c r="AO179">
        <v>1</v>
      </c>
      <c r="AP179" t="s">
        <v>208</v>
      </c>
      <c r="AQ179" t="s">
        <v>209</v>
      </c>
      <c r="AR179" t="s">
        <v>210</v>
      </c>
      <c r="AW179" t="s">
        <v>206</v>
      </c>
      <c r="AX179" t="s">
        <v>211</v>
      </c>
      <c r="AZ179" t="s">
        <v>209</v>
      </c>
      <c r="BI179" t="s">
        <v>212</v>
      </c>
      <c r="BJ179" t="s">
        <v>213</v>
      </c>
      <c r="BK179" t="s">
        <v>214</v>
      </c>
      <c r="BL179" t="s">
        <v>215</v>
      </c>
      <c r="BN179" t="s">
        <v>216</v>
      </c>
      <c r="BO179" t="s">
        <v>209</v>
      </c>
      <c r="BP179" t="s">
        <v>241</v>
      </c>
      <c r="BQ179">
        <v>4</v>
      </c>
      <c r="BS179" t="s">
        <v>219</v>
      </c>
      <c r="BT179" t="s">
        <v>220</v>
      </c>
      <c r="BU179" t="s">
        <v>206</v>
      </c>
      <c r="BX179" t="s">
        <v>234</v>
      </c>
      <c r="BY179" t="s">
        <v>234</v>
      </c>
      <c r="CA179" t="s">
        <v>287</v>
      </c>
      <c r="CC179" t="s">
        <v>222</v>
      </c>
      <c r="CD179" t="s">
        <v>223</v>
      </c>
      <c r="CE179" t="s">
        <v>815</v>
      </c>
      <c r="CF179" t="s">
        <v>816</v>
      </c>
      <c r="CG179" t="s">
        <v>611</v>
      </c>
      <c r="CH179" t="s">
        <v>209</v>
      </c>
      <c r="CI179" t="s">
        <v>817</v>
      </c>
      <c r="CJ179" t="s">
        <v>206</v>
      </c>
      <c r="CK179" t="s">
        <v>230</v>
      </c>
      <c r="CL179" t="s">
        <v>231</v>
      </c>
      <c r="CM179" t="s">
        <v>232</v>
      </c>
      <c r="CN179" t="s">
        <v>233</v>
      </c>
      <c r="CP179" t="s">
        <v>212</v>
      </c>
      <c r="CQ179" t="s">
        <v>212</v>
      </c>
      <c r="CR179" t="s">
        <v>212</v>
      </c>
      <c r="CS179" t="s">
        <v>212</v>
      </c>
      <c r="CY179" t="s">
        <v>212</v>
      </c>
      <c r="DB179" t="s">
        <v>234</v>
      </c>
      <c r="DE179" t="s">
        <v>212</v>
      </c>
      <c r="DF179" t="s">
        <v>212</v>
      </c>
      <c r="DG179" t="s">
        <v>235</v>
      </c>
      <c r="DH179" t="s">
        <v>212</v>
      </c>
      <c r="DJ179" t="s">
        <v>236</v>
      </c>
      <c r="DM179" t="s">
        <v>212</v>
      </c>
    </row>
    <row r="180" spans="1:184" x14ac:dyDescent="0.3">
      <c r="A180">
        <v>20063764</v>
      </c>
      <c r="B180">
        <v>71577</v>
      </c>
      <c r="C180" t="str">
        <f>"090826552151"</f>
        <v>090826552151</v>
      </c>
      <c r="D180" t="s">
        <v>818</v>
      </c>
      <c r="E180" t="s">
        <v>819</v>
      </c>
      <c r="F180" t="s">
        <v>521</v>
      </c>
      <c r="G180" s="1">
        <v>40051</v>
      </c>
      <c r="I180" t="s">
        <v>240</v>
      </c>
      <c r="J180" t="s">
        <v>200</v>
      </c>
      <c r="K180" t="s">
        <v>306</v>
      </c>
      <c r="R180" t="str">
        <f>"КАЗАХСТАН, АКМОЛИНСКАЯ, САНДЫКТАУСКИЙ РАЙОН, Балкашинский, Балкашино, 51"</f>
        <v>КАЗАХСТАН, АКМОЛИНСКАЯ, САНДЫКТАУСКИЙ РАЙОН, Балкашинский, Балкашино, 51</v>
      </c>
      <c r="S180" t="str">
        <f>"ҚАЗАҚСТАН, АҚМОЛА, САНДЫҚТАУ АУДАНЫ, Балкашинский, Балкашино, 51"</f>
        <v>ҚАЗАҚСТАН, АҚМОЛА, САНДЫҚТАУ АУДАНЫ, Балкашинский, Балкашино, 51</v>
      </c>
      <c r="T180" t="str">
        <f>"Балкашинский, Балкашино, 51"</f>
        <v>Балкашинский, Балкашино, 51</v>
      </c>
      <c r="U180" t="str">
        <f>"Балкашинский, Балкашино, 51"</f>
        <v>Балкашинский, Балкашино, 51</v>
      </c>
      <c r="AC180" t="str">
        <f>"2021-08-31T00:00:00"</f>
        <v>2021-08-31T00:00:00</v>
      </c>
      <c r="AD180" t="str">
        <f>"135"</f>
        <v>135</v>
      </c>
      <c r="AG180" t="s">
        <v>333</v>
      </c>
      <c r="AH180" t="str">
        <f>"Iliya@mail.ru"</f>
        <v>Iliya@mail.ru</v>
      </c>
      <c r="AI180" t="s">
        <v>203</v>
      </c>
      <c r="AJ180" t="s">
        <v>286</v>
      </c>
      <c r="AK180" t="s">
        <v>246</v>
      </c>
      <c r="AL180" t="s">
        <v>206</v>
      </c>
      <c r="AN180" t="s">
        <v>207</v>
      </c>
      <c r="AO180">
        <v>1</v>
      </c>
      <c r="AP180" t="s">
        <v>208</v>
      </c>
      <c r="AQ180" t="s">
        <v>209</v>
      </c>
      <c r="AR180" t="s">
        <v>210</v>
      </c>
      <c r="AW180" t="s">
        <v>206</v>
      </c>
      <c r="AX180" t="s">
        <v>211</v>
      </c>
      <c r="AZ180" t="s">
        <v>209</v>
      </c>
      <c r="BI180" t="s">
        <v>212</v>
      </c>
      <c r="BJ180" t="s">
        <v>213</v>
      </c>
      <c r="BK180" t="s">
        <v>214</v>
      </c>
      <c r="BL180" t="s">
        <v>215</v>
      </c>
      <c r="BN180" t="s">
        <v>247</v>
      </c>
      <c r="BO180" t="s">
        <v>209</v>
      </c>
      <c r="BP180" t="s">
        <v>241</v>
      </c>
      <c r="BQ180">
        <v>3</v>
      </c>
      <c r="BS180" t="s">
        <v>219</v>
      </c>
      <c r="BT180" t="s">
        <v>220</v>
      </c>
      <c r="BU180" t="s">
        <v>206</v>
      </c>
      <c r="BX180" t="s">
        <v>234</v>
      </c>
      <c r="BY180" t="s">
        <v>234</v>
      </c>
      <c r="CA180" t="s">
        <v>287</v>
      </c>
      <c r="CC180" t="s">
        <v>209</v>
      </c>
      <c r="CE180" t="s">
        <v>242</v>
      </c>
      <c r="CJ180" t="s">
        <v>206</v>
      </c>
      <c r="CK180" t="s">
        <v>291</v>
      </c>
      <c r="CM180" t="s">
        <v>292</v>
      </c>
      <c r="CN180" t="s">
        <v>233</v>
      </c>
      <c r="CP180" t="s">
        <v>212</v>
      </c>
      <c r="CQ180" t="s">
        <v>212</v>
      </c>
      <c r="CR180" t="s">
        <v>212</v>
      </c>
      <c r="CS180" t="s">
        <v>212</v>
      </c>
      <c r="CY180" t="s">
        <v>212</v>
      </c>
      <c r="DB180" t="s">
        <v>234</v>
      </c>
      <c r="DE180" t="s">
        <v>212</v>
      </c>
      <c r="DF180" t="s">
        <v>212</v>
      </c>
      <c r="DG180" t="s">
        <v>235</v>
      </c>
      <c r="DH180" t="s">
        <v>212</v>
      </c>
      <c r="DJ180" t="s">
        <v>236</v>
      </c>
      <c r="DM180" t="s">
        <v>212</v>
      </c>
    </row>
    <row r="181" spans="1:184" x14ac:dyDescent="0.3">
      <c r="A181">
        <v>20050586</v>
      </c>
      <c r="B181">
        <v>948285</v>
      </c>
      <c r="C181" t="str">
        <f>"140111600893"</f>
        <v>140111600893</v>
      </c>
      <c r="D181" t="s">
        <v>729</v>
      </c>
      <c r="E181" t="s">
        <v>820</v>
      </c>
      <c r="F181" t="s">
        <v>731</v>
      </c>
      <c r="G181" s="1">
        <v>41650</v>
      </c>
      <c r="I181" t="s">
        <v>199</v>
      </c>
      <c r="J181" t="s">
        <v>200</v>
      </c>
      <c r="K181" t="s">
        <v>201</v>
      </c>
      <c r="Q181" t="s">
        <v>212</v>
      </c>
      <c r="R181" t="str">
        <f>"КАЗАХСТАН, АКМОЛИНСКАЯ, СТЕПНОГОРСК, КЕНТI Аксу, 9"</f>
        <v>КАЗАХСТАН, АКМОЛИНСКАЯ, СТЕПНОГОРСК, КЕНТI Аксу, 9</v>
      </c>
      <c r="S181" t="str">
        <f>"ҚАЗАҚСТАН, АҚМОЛА, СТЕПНОГОР, КЕНТI Аксу, 9"</f>
        <v>ҚАЗАҚСТАН, АҚМОЛА, СТЕПНОГОР, КЕНТI Аксу, 9</v>
      </c>
      <c r="T181" t="str">
        <f>"КЕНТI Аксу, 9"</f>
        <v>КЕНТI Аксу, 9</v>
      </c>
      <c r="U181" t="str">
        <f>"КЕНТI Аксу, 9"</f>
        <v>КЕНТI Аксу, 9</v>
      </c>
      <c r="AC181" t="str">
        <f>"2021-08-23T00:00:00"</f>
        <v>2021-08-23T00:00:00</v>
      </c>
      <c r="AD181" t="str">
        <f>"125"</f>
        <v>125</v>
      </c>
      <c r="AG181" t="s">
        <v>202</v>
      </c>
      <c r="AI181" t="s">
        <v>269</v>
      </c>
      <c r="AJ181" t="s">
        <v>501</v>
      </c>
      <c r="AK181" t="s">
        <v>253</v>
      </c>
      <c r="AL181" t="s">
        <v>206</v>
      </c>
      <c r="AN181" t="s">
        <v>254</v>
      </c>
      <c r="AO181">
        <v>1</v>
      </c>
      <c r="AP181" t="s">
        <v>208</v>
      </c>
      <c r="AQ181" t="s">
        <v>209</v>
      </c>
      <c r="AR181" t="s">
        <v>502</v>
      </c>
      <c r="AW181" t="s">
        <v>212</v>
      </c>
      <c r="AZ181" t="s">
        <v>209</v>
      </c>
      <c r="BI181" t="s">
        <v>212</v>
      </c>
      <c r="BJ181" t="s">
        <v>213</v>
      </c>
      <c r="BK181" t="s">
        <v>214</v>
      </c>
      <c r="BL181" t="s">
        <v>357</v>
      </c>
      <c r="BN181" t="s">
        <v>281</v>
      </c>
      <c r="BO181" t="s">
        <v>209</v>
      </c>
      <c r="BP181" t="s">
        <v>415</v>
      </c>
      <c r="BQ181" t="s">
        <v>493</v>
      </c>
      <c r="BS181" t="s">
        <v>219</v>
      </c>
      <c r="BT181" t="s">
        <v>220</v>
      </c>
      <c r="BU181" t="s">
        <v>206</v>
      </c>
      <c r="BZ181" t="s">
        <v>503</v>
      </c>
      <c r="CA181" t="s">
        <v>287</v>
      </c>
      <c r="CC181" t="s">
        <v>222</v>
      </c>
      <c r="CD181" t="s">
        <v>223</v>
      </c>
      <c r="CE181" t="s">
        <v>242</v>
      </c>
      <c r="CJ181" t="s">
        <v>206</v>
      </c>
      <c r="CK181" t="s">
        <v>230</v>
      </c>
      <c r="CL181" t="s">
        <v>231</v>
      </c>
      <c r="CM181" t="s">
        <v>232</v>
      </c>
      <c r="CN181" t="s">
        <v>233</v>
      </c>
      <c r="CP181" t="s">
        <v>212</v>
      </c>
      <c r="CQ181" t="s">
        <v>212</v>
      </c>
      <c r="CR181" t="s">
        <v>212</v>
      </c>
      <c r="CS181" t="s">
        <v>212</v>
      </c>
      <c r="CY181" t="s">
        <v>212</v>
      </c>
      <c r="DB181" t="s">
        <v>234</v>
      </c>
      <c r="DE181" t="s">
        <v>212</v>
      </c>
      <c r="DF181" t="s">
        <v>212</v>
      </c>
      <c r="DG181" t="s">
        <v>235</v>
      </c>
      <c r="DH181" t="s">
        <v>212</v>
      </c>
      <c r="DJ181" t="s">
        <v>236</v>
      </c>
      <c r="DM181" t="s">
        <v>212</v>
      </c>
    </row>
    <row r="182" spans="1:184" x14ac:dyDescent="0.3">
      <c r="A182">
        <v>20045877</v>
      </c>
      <c r="B182">
        <v>109610</v>
      </c>
      <c r="C182" t="str">
        <f>"090505652935"</f>
        <v>090505652935</v>
      </c>
      <c r="D182" t="s">
        <v>821</v>
      </c>
      <c r="E182" t="s">
        <v>459</v>
      </c>
      <c r="F182" t="s">
        <v>822</v>
      </c>
      <c r="G182" s="1">
        <v>39938</v>
      </c>
      <c r="I182" t="s">
        <v>199</v>
      </c>
      <c r="J182" t="s">
        <v>200</v>
      </c>
      <c r="K182" t="s">
        <v>369</v>
      </c>
      <c r="R182" t="str">
        <f>"АНДОРРА, АКМОЛИНСКАЯ, ЦЕЛИНОГРАДСКИЙ РАЙОН, Акмол, Акмол, 1, 89"</f>
        <v>АНДОРРА, АКМОЛИНСКАЯ, ЦЕЛИНОГРАДСКИЙ РАЙОН, Акмол, Акмол, 1, 89</v>
      </c>
      <c r="S182" t="str">
        <f>"АНДОРРА, АҚМОЛА, ЦЕЛИНОГРАД АУДАНЫ, Акмол, Акмол, 1, 89"</f>
        <v>АНДОРРА, АҚМОЛА, ЦЕЛИНОГРАД АУДАНЫ, Акмол, Акмол, 1, 89</v>
      </c>
      <c r="T182" t="str">
        <f>"Акмол, Акмол, 1, 89"</f>
        <v>Акмол, Акмол, 1, 89</v>
      </c>
      <c r="U182" t="str">
        <f>"Акмол, Акмол, 1, 89"</f>
        <v>Акмол, Акмол, 1, 89</v>
      </c>
      <c r="AC182" t="str">
        <f>"2021-09-13T00:00:00"</f>
        <v>2021-09-13T00:00:00</v>
      </c>
      <c r="AD182" t="str">
        <f>"160"</f>
        <v>160</v>
      </c>
      <c r="AG182" t="s">
        <v>333</v>
      </c>
      <c r="AH182" t="str">
        <f>"ckool007@mail.ru"</f>
        <v>ckool007@mail.ru</v>
      </c>
      <c r="AI182" t="s">
        <v>269</v>
      </c>
      <c r="AJ182" t="s">
        <v>204</v>
      </c>
      <c r="AK182" t="s">
        <v>246</v>
      </c>
      <c r="AL182" t="s">
        <v>206</v>
      </c>
      <c r="AN182" t="s">
        <v>207</v>
      </c>
      <c r="AO182">
        <v>1</v>
      </c>
      <c r="AP182" t="s">
        <v>208</v>
      </c>
      <c r="AQ182" t="s">
        <v>209</v>
      </c>
      <c r="AR182" t="s">
        <v>210</v>
      </c>
      <c r="AW182" t="s">
        <v>206</v>
      </c>
      <c r="AX182" t="s">
        <v>211</v>
      </c>
      <c r="AZ182" t="s">
        <v>209</v>
      </c>
      <c r="BI182" t="s">
        <v>212</v>
      </c>
      <c r="BJ182" t="s">
        <v>213</v>
      </c>
      <c r="BK182" t="s">
        <v>214</v>
      </c>
      <c r="BL182" t="s">
        <v>215</v>
      </c>
      <c r="BN182" t="s">
        <v>216</v>
      </c>
      <c r="BO182" t="s">
        <v>209</v>
      </c>
      <c r="BP182" t="s">
        <v>217</v>
      </c>
      <c r="BQ182" t="s">
        <v>218</v>
      </c>
      <c r="BS182" t="s">
        <v>219</v>
      </c>
      <c r="BT182" t="s">
        <v>220</v>
      </c>
      <c r="BU182" t="s">
        <v>206</v>
      </c>
      <c r="BX182" t="s">
        <v>234</v>
      </c>
      <c r="BY182" t="s">
        <v>234</v>
      </c>
      <c r="CA182" t="s">
        <v>287</v>
      </c>
      <c r="CC182" t="s">
        <v>282</v>
      </c>
      <c r="CD182" t="s">
        <v>223</v>
      </c>
      <c r="CE182" t="s">
        <v>242</v>
      </c>
      <c r="CJ182" t="s">
        <v>206</v>
      </c>
      <c r="CK182" t="s">
        <v>230</v>
      </c>
      <c r="CL182" t="s">
        <v>231</v>
      </c>
      <c r="CM182" t="s">
        <v>232</v>
      </c>
      <c r="CN182" t="s">
        <v>233</v>
      </c>
      <c r="CP182" t="s">
        <v>212</v>
      </c>
      <c r="CQ182" t="s">
        <v>212</v>
      </c>
      <c r="CR182" t="s">
        <v>212</v>
      </c>
      <c r="CS182" t="s">
        <v>212</v>
      </c>
      <c r="CY182" t="s">
        <v>212</v>
      </c>
      <c r="DB182" t="s">
        <v>234</v>
      </c>
      <c r="DE182" t="s">
        <v>212</v>
      </c>
      <c r="DF182" t="s">
        <v>212</v>
      </c>
      <c r="DG182" t="s">
        <v>235</v>
      </c>
      <c r="DH182" t="s">
        <v>212</v>
      </c>
      <c r="DJ182" t="s">
        <v>236</v>
      </c>
      <c r="DM182" t="s">
        <v>212</v>
      </c>
    </row>
    <row r="183" spans="1:184" x14ac:dyDescent="0.3">
      <c r="A183">
        <v>20021942</v>
      </c>
      <c r="B183">
        <v>284783</v>
      </c>
      <c r="C183" t="str">
        <f>"120607502231"</f>
        <v>120607502231</v>
      </c>
      <c r="D183" t="s">
        <v>823</v>
      </c>
      <c r="E183" t="s">
        <v>824</v>
      </c>
      <c r="F183" t="s">
        <v>676</v>
      </c>
      <c r="G183" s="1">
        <v>41067</v>
      </c>
      <c r="I183" t="s">
        <v>240</v>
      </c>
      <c r="J183" t="s">
        <v>200</v>
      </c>
      <c r="K183" t="s">
        <v>825</v>
      </c>
      <c r="Q183" t="s">
        <v>212</v>
      </c>
      <c r="R183" t="str">
        <f>"КАЗАХСТАН, АКМОЛИНСКАЯ, СТЕПНОГОРСК, 21, 35"</f>
        <v>КАЗАХСТАН, АКМОЛИНСКАЯ, СТЕПНОГОРСК, 21, 35</v>
      </c>
      <c r="S183" t="str">
        <f>"ҚАЗАҚСТАН, АҚМОЛА, СТЕПНОГОР, 21, 35"</f>
        <v>ҚАЗАҚСТАН, АҚМОЛА, СТЕПНОГОР, 21, 35</v>
      </c>
      <c r="T183" t="str">
        <f>"21, 35"</f>
        <v>21, 35</v>
      </c>
      <c r="U183" t="str">
        <f>"21, 35"</f>
        <v>21, 35</v>
      </c>
      <c r="AC183" t="str">
        <f>"2021-08-13T00:00:00"</f>
        <v>2021-08-13T00:00:00</v>
      </c>
      <c r="AD183" t="str">
        <f>"115"</f>
        <v>115</v>
      </c>
      <c r="AG183" t="s">
        <v>202</v>
      </c>
      <c r="AI183" t="s">
        <v>203</v>
      </c>
      <c r="AJ183" t="s">
        <v>419</v>
      </c>
      <c r="AK183" t="s">
        <v>261</v>
      </c>
      <c r="AL183" t="s">
        <v>206</v>
      </c>
      <c r="AN183" t="s">
        <v>207</v>
      </c>
      <c r="AO183">
        <v>1</v>
      </c>
      <c r="AP183" t="s">
        <v>208</v>
      </c>
      <c r="AQ183" t="s">
        <v>209</v>
      </c>
      <c r="AR183" t="s">
        <v>210</v>
      </c>
      <c r="AW183" t="s">
        <v>206</v>
      </c>
      <c r="AX183" t="s">
        <v>211</v>
      </c>
      <c r="AZ183" t="s">
        <v>209</v>
      </c>
      <c r="BI183" t="s">
        <v>212</v>
      </c>
      <c r="BJ183" t="s">
        <v>213</v>
      </c>
      <c r="BK183" t="s">
        <v>214</v>
      </c>
      <c r="BL183" t="s">
        <v>215</v>
      </c>
      <c r="BN183" t="s">
        <v>247</v>
      </c>
      <c r="BO183" t="s">
        <v>209</v>
      </c>
      <c r="BP183" t="s">
        <v>415</v>
      </c>
      <c r="BQ183" t="s">
        <v>416</v>
      </c>
      <c r="BS183" t="s">
        <v>219</v>
      </c>
      <c r="BT183" t="s">
        <v>220</v>
      </c>
      <c r="BU183" t="s">
        <v>206</v>
      </c>
      <c r="BX183" t="s">
        <v>234</v>
      </c>
      <c r="BY183" t="s">
        <v>234</v>
      </c>
      <c r="CA183" t="s">
        <v>287</v>
      </c>
      <c r="CC183" t="s">
        <v>222</v>
      </c>
      <c r="CD183" t="s">
        <v>223</v>
      </c>
      <c r="CE183" t="s">
        <v>242</v>
      </c>
      <c r="CJ183" t="s">
        <v>206</v>
      </c>
      <c r="CK183" t="s">
        <v>230</v>
      </c>
      <c r="CL183" t="s">
        <v>231</v>
      </c>
      <c r="CM183" t="s">
        <v>232</v>
      </c>
      <c r="CN183" t="s">
        <v>233</v>
      </c>
      <c r="CP183" t="s">
        <v>212</v>
      </c>
      <c r="CQ183" t="s">
        <v>212</v>
      </c>
      <c r="CR183" t="s">
        <v>212</v>
      </c>
      <c r="CS183" t="s">
        <v>212</v>
      </c>
      <c r="CY183" t="s">
        <v>212</v>
      </c>
      <c r="DB183" t="s">
        <v>234</v>
      </c>
      <c r="DE183" t="s">
        <v>212</v>
      </c>
      <c r="DF183" t="s">
        <v>212</v>
      </c>
      <c r="DG183" t="s">
        <v>235</v>
      </c>
      <c r="DH183" t="s">
        <v>212</v>
      </c>
      <c r="DJ183" t="s">
        <v>236</v>
      </c>
      <c r="DM183" t="s">
        <v>212</v>
      </c>
    </row>
    <row r="184" spans="1:184" x14ac:dyDescent="0.3">
      <c r="A184">
        <v>20021903</v>
      </c>
      <c r="B184">
        <v>275666</v>
      </c>
      <c r="C184" t="str">
        <f>"090705551968"</f>
        <v>090705551968</v>
      </c>
      <c r="D184" t="s">
        <v>823</v>
      </c>
      <c r="E184" t="s">
        <v>826</v>
      </c>
      <c r="F184" t="s">
        <v>676</v>
      </c>
      <c r="G184" s="1">
        <v>39999</v>
      </c>
      <c r="I184" t="s">
        <v>240</v>
      </c>
      <c r="J184" t="s">
        <v>200</v>
      </c>
      <c r="K184" t="s">
        <v>825</v>
      </c>
      <c r="R184" t="str">
        <f>"КАЗАХСТАН, АКМОЛИНСКАЯ, СТЕПНОГОРСК, 21, 35"</f>
        <v>КАЗАХСТАН, АКМОЛИНСКАЯ, СТЕПНОГОРСК, 21, 35</v>
      </c>
      <c r="S184" t="str">
        <f>"ҚАЗАҚСТАН, АҚМОЛА, СТЕПНОГОР, 21, 35"</f>
        <v>ҚАЗАҚСТАН, АҚМОЛА, СТЕПНОГОР, 21, 35</v>
      </c>
      <c r="T184" t="str">
        <f>"21, 35"</f>
        <v>21, 35</v>
      </c>
      <c r="U184" t="str">
        <f>"21, 35"</f>
        <v>21, 35</v>
      </c>
      <c r="AC184" t="str">
        <f>"2021-08-13T00:00:00"</f>
        <v>2021-08-13T00:00:00</v>
      </c>
      <c r="AD184" t="str">
        <f>"115"</f>
        <v>115</v>
      </c>
      <c r="AG184" t="s">
        <v>202</v>
      </c>
      <c r="AH184" t="str">
        <f>"bladislav@mail.ru"</f>
        <v>bladislav@mail.ru</v>
      </c>
      <c r="AI184" t="s">
        <v>203</v>
      </c>
      <c r="AJ184" t="s">
        <v>286</v>
      </c>
      <c r="AK184" t="s">
        <v>261</v>
      </c>
      <c r="AL184" t="s">
        <v>206</v>
      </c>
      <c r="AN184" t="s">
        <v>207</v>
      </c>
      <c r="AO184">
        <v>1</v>
      </c>
      <c r="AP184" t="s">
        <v>208</v>
      </c>
      <c r="AQ184" t="s">
        <v>209</v>
      </c>
      <c r="AR184" t="s">
        <v>210</v>
      </c>
      <c r="AW184" t="s">
        <v>206</v>
      </c>
      <c r="AX184" t="s">
        <v>211</v>
      </c>
      <c r="AZ184" t="s">
        <v>209</v>
      </c>
      <c r="BI184" t="s">
        <v>212</v>
      </c>
      <c r="BJ184" t="s">
        <v>213</v>
      </c>
      <c r="BK184" t="s">
        <v>214</v>
      </c>
      <c r="BL184" t="s">
        <v>215</v>
      </c>
      <c r="BN184" t="s">
        <v>247</v>
      </c>
      <c r="BO184" t="s">
        <v>209</v>
      </c>
      <c r="BP184" t="s">
        <v>217</v>
      </c>
      <c r="BQ184" t="s">
        <v>248</v>
      </c>
      <c r="BS184" t="s">
        <v>219</v>
      </c>
      <c r="BT184" t="s">
        <v>220</v>
      </c>
      <c r="BU184" t="s">
        <v>206</v>
      </c>
      <c r="BX184" t="s">
        <v>234</v>
      </c>
      <c r="BY184" t="s">
        <v>234</v>
      </c>
      <c r="CA184" t="s">
        <v>287</v>
      </c>
      <c r="CC184" t="s">
        <v>209</v>
      </c>
      <c r="CE184" t="s">
        <v>242</v>
      </c>
      <c r="CJ184" t="s">
        <v>206</v>
      </c>
      <c r="CK184" t="s">
        <v>230</v>
      </c>
      <c r="CL184" t="s">
        <v>231</v>
      </c>
      <c r="CM184" t="s">
        <v>232</v>
      </c>
      <c r="CN184" t="s">
        <v>233</v>
      </c>
      <c r="CP184" t="s">
        <v>212</v>
      </c>
      <c r="CQ184" t="s">
        <v>212</v>
      </c>
      <c r="CR184" t="s">
        <v>212</v>
      </c>
      <c r="CS184" t="s">
        <v>212</v>
      </c>
      <c r="CY184" t="s">
        <v>212</v>
      </c>
      <c r="DB184" t="s">
        <v>234</v>
      </c>
      <c r="DE184" t="s">
        <v>212</v>
      </c>
      <c r="DF184" t="s">
        <v>212</v>
      </c>
      <c r="DG184" t="s">
        <v>235</v>
      </c>
      <c r="DH184" t="s">
        <v>212</v>
      </c>
      <c r="DJ184" t="s">
        <v>236</v>
      </c>
      <c r="DM184" t="s">
        <v>212</v>
      </c>
    </row>
    <row r="185" spans="1:184" x14ac:dyDescent="0.3">
      <c r="A185">
        <v>19958586</v>
      </c>
      <c r="B185">
        <v>183671</v>
      </c>
      <c r="C185" t="str">
        <f>"080922552528"</f>
        <v>080922552528</v>
      </c>
      <c r="D185" t="s">
        <v>827</v>
      </c>
      <c r="E185" t="s">
        <v>828</v>
      </c>
      <c r="F185" t="s">
        <v>259</v>
      </c>
      <c r="G185" s="1">
        <v>39713</v>
      </c>
      <c r="I185" t="s">
        <v>240</v>
      </c>
      <c r="J185" t="s">
        <v>200</v>
      </c>
      <c r="K185" t="s">
        <v>260</v>
      </c>
      <c r="Q185" t="s">
        <v>212</v>
      </c>
      <c r="R185" t="str">
        <f>"АНДОРРА, АКМОЛИНСКАЯ, СТЕПНОГОРСК, -, 33, 67"</f>
        <v>АНДОРРА, АКМОЛИНСКАЯ, СТЕПНОГОРСК, -, 33, 67</v>
      </c>
      <c r="S185" t="str">
        <f>"АНДОРРА, АҚМОЛА, СТЕПНОГОР, -, 33, 67"</f>
        <v>АНДОРРА, АҚМОЛА, СТЕПНОГОР, -, 33, 67</v>
      </c>
      <c r="T185" t="str">
        <f>"-, 33, 67"</f>
        <v>-, 33, 67</v>
      </c>
      <c r="U185" t="str">
        <f>"-, 33, 67"</f>
        <v>-, 33, 67</v>
      </c>
      <c r="AC185" t="str">
        <f>"2021-08-13T00:00:00"</f>
        <v>2021-08-13T00:00:00</v>
      </c>
      <c r="AD185" t="str">
        <f>"115"</f>
        <v>115</v>
      </c>
      <c r="AG185" t="s">
        <v>202</v>
      </c>
      <c r="AH185" t="str">
        <f>"ckool007@mail.ru"</f>
        <v>ckool007@mail.ru</v>
      </c>
      <c r="AI185" t="s">
        <v>299</v>
      </c>
      <c r="AJ185" t="s">
        <v>204</v>
      </c>
      <c r="AK185" t="s">
        <v>261</v>
      </c>
      <c r="AL185" t="s">
        <v>206</v>
      </c>
      <c r="AN185" t="s">
        <v>207</v>
      </c>
      <c r="AO185">
        <v>1</v>
      </c>
      <c r="AP185" t="s">
        <v>208</v>
      </c>
      <c r="AQ185" t="s">
        <v>209</v>
      </c>
      <c r="AR185" t="s">
        <v>412</v>
      </c>
      <c r="AW185" t="s">
        <v>206</v>
      </c>
      <c r="AX185" t="s">
        <v>211</v>
      </c>
      <c r="AZ185" t="s">
        <v>209</v>
      </c>
      <c r="BI185" t="s">
        <v>212</v>
      </c>
      <c r="BJ185" t="s">
        <v>213</v>
      </c>
      <c r="BK185" t="s">
        <v>214</v>
      </c>
      <c r="BL185" t="s">
        <v>215</v>
      </c>
      <c r="BN185" t="s">
        <v>247</v>
      </c>
      <c r="BO185" t="s">
        <v>209</v>
      </c>
      <c r="BP185" t="s">
        <v>217</v>
      </c>
      <c r="BQ185" t="s">
        <v>248</v>
      </c>
      <c r="BS185" t="s">
        <v>219</v>
      </c>
      <c r="BT185" t="s">
        <v>220</v>
      </c>
      <c r="BU185" t="s">
        <v>206</v>
      </c>
      <c r="CA185" t="s">
        <v>287</v>
      </c>
      <c r="CC185" t="s">
        <v>256</v>
      </c>
      <c r="CD185" t="s">
        <v>223</v>
      </c>
      <c r="CE185" t="s">
        <v>242</v>
      </c>
      <c r="CJ185" t="s">
        <v>206</v>
      </c>
      <c r="CK185" t="s">
        <v>230</v>
      </c>
      <c r="CL185" t="s">
        <v>231</v>
      </c>
      <c r="CM185" t="s">
        <v>232</v>
      </c>
      <c r="CN185" t="s">
        <v>233</v>
      </c>
      <c r="CP185" t="s">
        <v>212</v>
      </c>
      <c r="CQ185" t="s">
        <v>212</v>
      </c>
      <c r="CR185" t="s">
        <v>212</v>
      </c>
      <c r="CS185" t="s">
        <v>212</v>
      </c>
      <c r="CY185" t="s">
        <v>212</v>
      </c>
      <c r="DB185" t="s">
        <v>234</v>
      </c>
      <c r="DE185" t="s">
        <v>212</v>
      </c>
      <c r="DF185" t="s">
        <v>212</v>
      </c>
      <c r="DG185" t="s">
        <v>235</v>
      </c>
      <c r="DH185" t="s">
        <v>212</v>
      </c>
      <c r="DJ185" t="s">
        <v>236</v>
      </c>
      <c r="DM185" t="s">
        <v>206</v>
      </c>
    </row>
    <row r="186" spans="1:184" x14ac:dyDescent="0.3">
      <c r="A186">
        <v>19870830</v>
      </c>
      <c r="B186">
        <v>179967</v>
      </c>
      <c r="C186" t="str">
        <f>"090610554272"</f>
        <v>090610554272</v>
      </c>
      <c r="D186" t="s">
        <v>742</v>
      </c>
      <c r="E186" t="s">
        <v>829</v>
      </c>
      <c r="F186" t="s">
        <v>744</v>
      </c>
      <c r="G186" s="1">
        <v>39974</v>
      </c>
      <c r="I186" t="s">
        <v>240</v>
      </c>
      <c r="J186" t="s">
        <v>200</v>
      </c>
      <c r="K186" t="s">
        <v>201</v>
      </c>
      <c r="R186" t="str">
        <f>"КАЗАХСТАН, АКМОЛИНСКАЯ, СТЕПНОГОРСК, 39, 43"</f>
        <v>КАЗАХСТАН, АКМОЛИНСКАЯ, СТЕПНОГОРСК, 39, 43</v>
      </c>
      <c r="S186" t="str">
        <f>"ҚАЗАҚСТАН, АҚМОЛА, СТЕПНОГОР, 39, 43"</f>
        <v>ҚАЗАҚСТАН, АҚМОЛА, СТЕПНОГОР, 39, 43</v>
      </c>
      <c r="T186" t="str">
        <f>"39, 43"</f>
        <v>39, 43</v>
      </c>
      <c r="U186" t="str">
        <f>"39, 43"</f>
        <v>39, 43</v>
      </c>
      <c r="AC186" t="str">
        <f>"2021-08-19T00:00:00"</f>
        <v>2021-08-19T00:00:00</v>
      </c>
      <c r="AD186" t="str">
        <f>"122"</f>
        <v>122</v>
      </c>
      <c r="AE186" t="str">
        <f>"2023-09-01T17:30:53"</f>
        <v>2023-09-01T17:30:53</v>
      </c>
      <c r="AF186" t="str">
        <f>"2024-05-25T17:30:53"</f>
        <v>2024-05-25T17:30:53</v>
      </c>
      <c r="AG186" t="s">
        <v>202</v>
      </c>
      <c r="AH186" t="str">
        <f>"erali@mail.ru"</f>
        <v>erali@mail.ru</v>
      </c>
      <c r="AI186" t="s">
        <v>274</v>
      </c>
      <c r="AJ186" t="s">
        <v>286</v>
      </c>
      <c r="AK186" t="s">
        <v>253</v>
      </c>
      <c r="AL186" t="s">
        <v>206</v>
      </c>
      <c r="AN186" t="s">
        <v>254</v>
      </c>
      <c r="AO186">
        <v>1</v>
      </c>
      <c r="AP186" t="s">
        <v>208</v>
      </c>
      <c r="AQ186" t="s">
        <v>209</v>
      </c>
      <c r="AR186" t="s">
        <v>210</v>
      </c>
      <c r="AW186" t="s">
        <v>206</v>
      </c>
      <c r="AX186" t="s">
        <v>211</v>
      </c>
      <c r="AZ186" t="s">
        <v>209</v>
      </c>
      <c r="BI186" t="s">
        <v>212</v>
      </c>
      <c r="BJ186" t="s">
        <v>213</v>
      </c>
      <c r="BK186" t="s">
        <v>214</v>
      </c>
      <c r="BL186" t="s">
        <v>215</v>
      </c>
      <c r="BM186" t="s">
        <v>221</v>
      </c>
      <c r="BN186" t="s">
        <v>247</v>
      </c>
      <c r="BO186" t="s">
        <v>209</v>
      </c>
      <c r="BP186" t="s">
        <v>217</v>
      </c>
      <c r="BQ186" t="s">
        <v>830</v>
      </c>
      <c r="BS186" t="s">
        <v>219</v>
      </c>
      <c r="BT186" t="s">
        <v>220</v>
      </c>
      <c r="BU186" t="s">
        <v>206</v>
      </c>
      <c r="CA186" t="s">
        <v>287</v>
      </c>
      <c r="CC186" t="s">
        <v>209</v>
      </c>
      <c r="CE186" t="s">
        <v>831</v>
      </c>
      <c r="CF186" t="s">
        <v>816</v>
      </c>
      <c r="CG186" t="s">
        <v>832</v>
      </c>
      <c r="CH186" t="s">
        <v>228</v>
      </c>
      <c r="CI186" t="s">
        <v>833</v>
      </c>
      <c r="CJ186" t="s">
        <v>206</v>
      </c>
      <c r="CK186" t="s">
        <v>230</v>
      </c>
      <c r="CL186" t="s">
        <v>231</v>
      </c>
      <c r="CM186" t="s">
        <v>232</v>
      </c>
      <c r="CN186" t="s">
        <v>233</v>
      </c>
      <c r="CP186" t="s">
        <v>212</v>
      </c>
      <c r="CQ186" t="s">
        <v>212</v>
      </c>
      <c r="CR186" t="s">
        <v>212</v>
      </c>
      <c r="CS186" t="s">
        <v>212</v>
      </c>
      <c r="CY186" t="s">
        <v>212</v>
      </c>
      <c r="DB186" t="s">
        <v>234</v>
      </c>
      <c r="DE186" t="s">
        <v>212</v>
      </c>
      <c r="DF186" t="s">
        <v>212</v>
      </c>
      <c r="DG186" t="s">
        <v>235</v>
      </c>
      <c r="DH186" t="s">
        <v>212</v>
      </c>
      <c r="DJ186" t="s">
        <v>421</v>
      </c>
      <c r="DK186" t="s">
        <v>422</v>
      </c>
      <c r="DL186" t="s">
        <v>423</v>
      </c>
      <c r="DM186" t="s">
        <v>206</v>
      </c>
    </row>
    <row r="187" spans="1:184" x14ac:dyDescent="0.3">
      <c r="A187">
        <v>19869042</v>
      </c>
      <c r="B187">
        <v>180397</v>
      </c>
      <c r="C187" t="str">
        <f>"090518553948"</f>
        <v>090518553948</v>
      </c>
      <c r="D187" t="s">
        <v>834</v>
      </c>
      <c r="E187" t="s">
        <v>835</v>
      </c>
      <c r="F187" t="s">
        <v>836</v>
      </c>
      <c r="G187" s="1">
        <v>39951</v>
      </c>
      <c r="I187" t="s">
        <v>240</v>
      </c>
      <c r="J187" t="s">
        <v>200</v>
      </c>
      <c r="K187" t="s">
        <v>374</v>
      </c>
      <c r="R187" t="str">
        <f>"АНДОРРА, АКМОЛИНСКАЯ, СТЕПНОГОРСК, КЕНТI Аксу, 4, 7"</f>
        <v>АНДОРРА, АКМОЛИНСКАЯ, СТЕПНОГОРСК, КЕНТI Аксу, 4, 7</v>
      </c>
      <c r="S187" t="str">
        <f>"АНДОРРА, АҚМОЛА, СТЕПНОГОР, КЕНТI Аксу, 4, 7"</f>
        <v>АНДОРРА, АҚМОЛА, СТЕПНОГОР, КЕНТI Аксу, 4, 7</v>
      </c>
      <c r="T187" t="str">
        <f>"КЕНТI Аксу, 4, 7"</f>
        <v>КЕНТI Аксу, 4, 7</v>
      </c>
      <c r="U187" t="str">
        <f>"КЕНТI Аксу, 4, 7"</f>
        <v>КЕНТI Аксу, 4, 7</v>
      </c>
      <c r="AC187" t="str">
        <f>"2021-08-09T00:00:00"</f>
        <v>2021-08-09T00:00:00</v>
      </c>
      <c r="AD187" t="str">
        <f>"111"</f>
        <v>111</v>
      </c>
      <c r="AG187" t="s">
        <v>202</v>
      </c>
      <c r="AH187" t="str">
        <f>"ckool007@mail.ru"</f>
        <v>ckool007@mail.ru</v>
      </c>
      <c r="AI187" t="s">
        <v>299</v>
      </c>
      <c r="AJ187" t="s">
        <v>286</v>
      </c>
      <c r="AK187" t="s">
        <v>261</v>
      </c>
      <c r="AL187" t="s">
        <v>206</v>
      </c>
      <c r="AN187" t="s">
        <v>207</v>
      </c>
      <c r="AO187">
        <v>1</v>
      </c>
      <c r="AP187" t="s">
        <v>208</v>
      </c>
      <c r="AQ187" t="s">
        <v>209</v>
      </c>
      <c r="AR187" t="s">
        <v>210</v>
      </c>
      <c r="AW187" t="s">
        <v>206</v>
      </c>
      <c r="AX187" t="s">
        <v>211</v>
      </c>
      <c r="AZ187" t="s">
        <v>209</v>
      </c>
      <c r="BI187" t="s">
        <v>212</v>
      </c>
      <c r="BJ187" t="s">
        <v>213</v>
      </c>
      <c r="BK187" t="s">
        <v>214</v>
      </c>
      <c r="BL187" t="s">
        <v>215</v>
      </c>
      <c r="BN187" t="s">
        <v>247</v>
      </c>
      <c r="BO187" t="s">
        <v>209</v>
      </c>
      <c r="BP187" t="s">
        <v>241</v>
      </c>
      <c r="BQ187">
        <v>4</v>
      </c>
      <c r="BS187" t="s">
        <v>219</v>
      </c>
      <c r="BT187" t="s">
        <v>220</v>
      </c>
      <c r="BU187" t="s">
        <v>206</v>
      </c>
      <c r="BX187" t="s">
        <v>234</v>
      </c>
      <c r="BY187" t="s">
        <v>234</v>
      </c>
      <c r="CA187" t="s">
        <v>287</v>
      </c>
      <c r="CC187" t="s">
        <v>209</v>
      </c>
      <c r="CE187" t="s">
        <v>242</v>
      </c>
      <c r="CJ187" t="s">
        <v>206</v>
      </c>
      <c r="CK187" t="s">
        <v>230</v>
      </c>
      <c r="CL187" t="s">
        <v>231</v>
      </c>
      <c r="CM187" t="s">
        <v>232</v>
      </c>
      <c r="CN187" t="s">
        <v>233</v>
      </c>
      <c r="CP187" t="s">
        <v>212</v>
      </c>
      <c r="CQ187" t="s">
        <v>212</v>
      </c>
      <c r="CR187" t="s">
        <v>212</v>
      </c>
      <c r="CS187" t="s">
        <v>212</v>
      </c>
      <c r="CY187" t="s">
        <v>212</v>
      </c>
      <c r="DB187" t="s">
        <v>234</v>
      </c>
      <c r="DE187" t="s">
        <v>212</v>
      </c>
      <c r="DF187" t="s">
        <v>212</v>
      </c>
      <c r="DG187" t="s">
        <v>235</v>
      </c>
      <c r="DH187" t="s">
        <v>212</v>
      </c>
      <c r="DJ187" t="s">
        <v>236</v>
      </c>
      <c r="DM187" t="s">
        <v>206</v>
      </c>
    </row>
    <row r="188" spans="1:184" x14ac:dyDescent="0.3">
      <c r="A188">
        <v>19666734</v>
      </c>
      <c r="B188">
        <v>921408</v>
      </c>
      <c r="C188" t="str">
        <f>"141115501136"</f>
        <v>141115501136</v>
      </c>
      <c r="D188" t="s">
        <v>837</v>
      </c>
      <c r="E188" t="s">
        <v>819</v>
      </c>
      <c r="F188" t="s">
        <v>838</v>
      </c>
      <c r="G188" s="1">
        <v>41958</v>
      </c>
      <c r="I188" t="s">
        <v>240</v>
      </c>
      <c r="J188" t="s">
        <v>200</v>
      </c>
      <c r="K188" t="s">
        <v>260</v>
      </c>
      <c r="R188" t="str">
        <f>"КАЗАХСТАН, АКМОЛИНСКАЯ, СТЕПНОГОРСК, -, 51, 110"</f>
        <v>КАЗАХСТАН, АКМОЛИНСКАЯ, СТЕПНОГОРСК, -, 51, 110</v>
      </c>
      <c r="S188" t="str">
        <f>"ҚАЗАҚСТАН, АҚМОЛА, СТЕПНОГОР, -, 51, 110"</f>
        <v>ҚАЗАҚСТАН, АҚМОЛА, СТЕПНОГОР, -, 51, 110</v>
      </c>
      <c r="T188" t="str">
        <f>"-, 51, 110"</f>
        <v>-, 51, 110</v>
      </c>
      <c r="U188" t="str">
        <f>"-, 51, 110"</f>
        <v>-, 51, 110</v>
      </c>
      <c r="AC188" t="str">
        <f>"2021-08-25T00:00:00"</f>
        <v>2021-08-25T00:00:00</v>
      </c>
      <c r="AD188" t="str">
        <f>"135"</f>
        <v>135</v>
      </c>
      <c r="AG188" t="s">
        <v>202</v>
      </c>
      <c r="AI188" t="s">
        <v>299</v>
      </c>
      <c r="AJ188" t="s">
        <v>540</v>
      </c>
      <c r="AK188" t="s">
        <v>246</v>
      </c>
      <c r="AL188" t="s">
        <v>206</v>
      </c>
      <c r="AN188" t="s">
        <v>207</v>
      </c>
      <c r="AO188">
        <v>2</v>
      </c>
      <c r="AP188" t="s">
        <v>208</v>
      </c>
      <c r="AQ188" t="s">
        <v>209</v>
      </c>
      <c r="AR188" t="s">
        <v>502</v>
      </c>
      <c r="AW188" t="s">
        <v>212</v>
      </c>
      <c r="AZ188" t="s">
        <v>209</v>
      </c>
      <c r="BI188" t="s">
        <v>212</v>
      </c>
      <c r="BJ188" t="s">
        <v>213</v>
      </c>
      <c r="BK188" t="s">
        <v>214</v>
      </c>
      <c r="BL188" t="s">
        <v>357</v>
      </c>
      <c r="BN188" t="s">
        <v>216</v>
      </c>
      <c r="BO188" t="s">
        <v>209</v>
      </c>
      <c r="BP188" t="s">
        <v>241</v>
      </c>
      <c r="BQ188">
        <v>4</v>
      </c>
      <c r="BS188" t="s">
        <v>219</v>
      </c>
      <c r="BT188" t="s">
        <v>220</v>
      </c>
      <c r="BU188" t="s">
        <v>206</v>
      </c>
      <c r="BZ188" t="s">
        <v>541</v>
      </c>
      <c r="CA188" t="s">
        <v>287</v>
      </c>
      <c r="CC188" t="s">
        <v>222</v>
      </c>
      <c r="CD188" t="s">
        <v>223</v>
      </c>
      <c r="CE188" t="s">
        <v>242</v>
      </c>
      <c r="CJ188" t="s">
        <v>206</v>
      </c>
      <c r="CK188" t="s">
        <v>230</v>
      </c>
      <c r="CL188" t="s">
        <v>231</v>
      </c>
      <c r="CM188" t="s">
        <v>232</v>
      </c>
      <c r="CN188" t="s">
        <v>233</v>
      </c>
      <c r="CP188" t="s">
        <v>212</v>
      </c>
      <c r="CQ188" t="s">
        <v>212</v>
      </c>
      <c r="CR188" t="s">
        <v>212</v>
      </c>
      <c r="CS188" t="s">
        <v>212</v>
      </c>
      <c r="CY188" t="s">
        <v>212</v>
      </c>
      <c r="DB188" t="s">
        <v>234</v>
      </c>
      <c r="DE188" t="s">
        <v>212</v>
      </c>
      <c r="DF188" t="s">
        <v>212</v>
      </c>
      <c r="DG188" t="s">
        <v>235</v>
      </c>
      <c r="DH188" t="s">
        <v>212</v>
      </c>
      <c r="DJ188" t="s">
        <v>236</v>
      </c>
      <c r="DM188" t="s">
        <v>212</v>
      </c>
      <c r="GB188" t="s">
        <v>206</v>
      </c>
    </row>
    <row r="189" spans="1:184" x14ac:dyDescent="0.3">
      <c r="A189">
        <v>22844112</v>
      </c>
      <c r="B189">
        <v>312631</v>
      </c>
      <c r="C189" t="str">
        <f>"060330550583"</f>
        <v>060330550583</v>
      </c>
      <c r="D189" t="s">
        <v>839</v>
      </c>
      <c r="E189" t="s">
        <v>793</v>
      </c>
      <c r="F189" t="s">
        <v>558</v>
      </c>
      <c r="G189" s="1">
        <v>38806</v>
      </c>
      <c r="I189" t="s">
        <v>240</v>
      </c>
      <c r="J189" t="s">
        <v>200</v>
      </c>
      <c r="K189" t="s">
        <v>260</v>
      </c>
      <c r="Q189" t="s">
        <v>212</v>
      </c>
      <c r="R189" t="str">
        <f>"КАЗАХСТАН, АКМОЛИНСКАЯ, СТЕПНОГОРСК, 15, 280"</f>
        <v>КАЗАХСТАН, АКМОЛИНСКАЯ, СТЕПНОГОРСК, 15, 280</v>
      </c>
      <c r="S189" t="str">
        <f>"ҚАЗАҚСТАН, АҚМОЛА, СТЕПНОГОР, 15, 280"</f>
        <v>ҚАЗАҚСТАН, АҚМОЛА, СТЕПНОГОР, 15, 280</v>
      </c>
      <c r="T189" t="str">
        <f>"15, 280"</f>
        <v>15, 280</v>
      </c>
      <c r="U189" t="str">
        <f>"15, 280"</f>
        <v>15, 280</v>
      </c>
      <c r="AC189" t="str">
        <f>"2022-08-25T00:00:00"</f>
        <v>2022-08-25T00:00:00</v>
      </c>
      <c r="AD189" t="str">
        <f>"102"</f>
        <v>102</v>
      </c>
      <c r="AE189" t="str">
        <f>"2023-09-01T10:24:08"</f>
        <v>2023-09-01T10:24:08</v>
      </c>
      <c r="AF189" t="str">
        <f>"2024-05-25T10:24:08"</f>
        <v>2024-05-25T10:24:08</v>
      </c>
      <c r="AG189" t="s">
        <v>202</v>
      </c>
      <c r="AH189" t="str">
        <f>"ckool007@mail.ru"</f>
        <v>ckool007@mail.ru</v>
      </c>
      <c r="AI189" t="s">
        <v>274</v>
      </c>
      <c r="AJ189" t="s">
        <v>795</v>
      </c>
      <c r="AK189" t="s">
        <v>205</v>
      </c>
      <c r="AL189" t="s">
        <v>206</v>
      </c>
      <c r="AN189" t="s">
        <v>207</v>
      </c>
      <c r="AO189">
        <v>1</v>
      </c>
      <c r="AP189" t="s">
        <v>208</v>
      </c>
      <c r="AQ189" t="s">
        <v>209</v>
      </c>
      <c r="AR189" t="s">
        <v>210</v>
      </c>
      <c r="AW189" t="s">
        <v>206</v>
      </c>
      <c r="AX189" t="s">
        <v>211</v>
      </c>
      <c r="AZ189" t="s">
        <v>209</v>
      </c>
      <c r="BI189" t="s">
        <v>212</v>
      </c>
      <c r="BJ189" t="s">
        <v>213</v>
      </c>
      <c r="BK189" t="s">
        <v>214</v>
      </c>
      <c r="BL189" t="s">
        <v>215</v>
      </c>
      <c r="BN189" t="s">
        <v>247</v>
      </c>
      <c r="BO189" t="s">
        <v>209</v>
      </c>
      <c r="BP189" t="s">
        <v>217</v>
      </c>
      <c r="BQ189" t="s">
        <v>840</v>
      </c>
      <c r="BS189" t="s">
        <v>219</v>
      </c>
      <c r="BT189" t="s">
        <v>220</v>
      </c>
      <c r="BU189" t="s">
        <v>206</v>
      </c>
      <c r="BX189" t="s">
        <v>221</v>
      </c>
      <c r="BY189" t="s">
        <v>221</v>
      </c>
      <c r="CA189" t="s">
        <v>317</v>
      </c>
      <c r="CB189" t="s">
        <v>223</v>
      </c>
      <c r="CC189" t="s">
        <v>209</v>
      </c>
      <c r="CE189" t="s">
        <v>242</v>
      </c>
      <c r="CJ189" t="s">
        <v>206</v>
      </c>
      <c r="CK189" t="s">
        <v>230</v>
      </c>
      <c r="CL189" t="s">
        <v>231</v>
      </c>
      <c r="CM189" t="s">
        <v>232</v>
      </c>
      <c r="CN189" t="s">
        <v>233</v>
      </c>
      <c r="CP189" t="s">
        <v>212</v>
      </c>
      <c r="CQ189" t="s">
        <v>212</v>
      </c>
      <c r="CR189" t="s">
        <v>212</v>
      </c>
      <c r="CS189" t="s">
        <v>212</v>
      </c>
      <c r="CY189" t="s">
        <v>206</v>
      </c>
      <c r="CZ189" t="str">
        <f>"2022-04-08T00:00:00"</f>
        <v>2022-04-08T00:00:00</v>
      </c>
      <c r="DB189" t="s">
        <v>234</v>
      </c>
      <c r="DE189" t="s">
        <v>212</v>
      </c>
      <c r="DF189" t="s">
        <v>212</v>
      </c>
      <c r="DG189" t="s">
        <v>235</v>
      </c>
      <c r="DH189" t="s">
        <v>212</v>
      </c>
      <c r="DJ189" t="s">
        <v>236</v>
      </c>
      <c r="DM189" t="s">
        <v>212</v>
      </c>
    </row>
    <row r="190" spans="1:184" x14ac:dyDescent="0.3">
      <c r="A190">
        <v>19661015</v>
      </c>
      <c r="B190">
        <v>183960</v>
      </c>
      <c r="C190" t="str">
        <f>"100515552731"</f>
        <v>100515552731</v>
      </c>
      <c r="D190" t="s">
        <v>841</v>
      </c>
      <c r="E190" t="s">
        <v>842</v>
      </c>
      <c r="F190" t="s">
        <v>843</v>
      </c>
      <c r="G190" s="1">
        <v>40313</v>
      </c>
      <c r="I190" t="s">
        <v>240</v>
      </c>
      <c r="J190" t="s">
        <v>200</v>
      </c>
      <c r="K190" t="s">
        <v>268</v>
      </c>
      <c r="R190" t="str">
        <f>"АНДОРРА, АКМОЛИНСКАЯ, СТЕПНОГОРСК, Бестобе, 22А, 5"</f>
        <v>АНДОРРА, АКМОЛИНСКАЯ, СТЕПНОГОРСК, Бестобе, 22А, 5</v>
      </c>
      <c r="S190" t="str">
        <f>"АНДОРРА, АҚМОЛА, СТЕПНОГОР, Бестобе, 22А, 5"</f>
        <v>АНДОРРА, АҚМОЛА, СТЕПНОГОР, Бестобе, 22А, 5</v>
      </c>
      <c r="T190" t="str">
        <f>"Бестобе, 22А, 5"</f>
        <v>Бестобе, 22А, 5</v>
      </c>
      <c r="U190" t="str">
        <f>"Бестобе, 22А, 5"</f>
        <v>Бестобе, 22А, 5</v>
      </c>
      <c r="AC190" t="str">
        <f>"2021-08-02T00:00:00"</f>
        <v>2021-08-02T00:00:00</v>
      </c>
      <c r="AD190" t="str">
        <f>"102"</f>
        <v>102</v>
      </c>
      <c r="AG190" t="s">
        <v>202</v>
      </c>
      <c r="AI190" t="s">
        <v>269</v>
      </c>
      <c r="AJ190" t="s">
        <v>300</v>
      </c>
      <c r="AK190" t="s">
        <v>261</v>
      </c>
      <c r="AL190" t="s">
        <v>206</v>
      </c>
      <c r="AN190" t="s">
        <v>207</v>
      </c>
      <c r="AO190">
        <v>1</v>
      </c>
      <c r="AP190" t="s">
        <v>208</v>
      </c>
      <c r="AQ190" t="s">
        <v>209</v>
      </c>
      <c r="AR190" t="s">
        <v>210</v>
      </c>
      <c r="AW190" t="s">
        <v>206</v>
      </c>
      <c r="AX190" t="s">
        <v>211</v>
      </c>
      <c r="AZ190" t="s">
        <v>209</v>
      </c>
      <c r="BI190" t="s">
        <v>212</v>
      </c>
      <c r="BJ190" t="s">
        <v>213</v>
      </c>
      <c r="BK190" t="s">
        <v>214</v>
      </c>
      <c r="BL190" t="s">
        <v>215</v>
      </c>
      <c r="BN190" t="s">
        <v>247</v>
      </c>
      <c r="BO190" t="s">
        <v>209</v>
      </c>
      <c r="BP190" t="s">
        <v>241</v>
      </c>
      <c r="BQ190">
        <v>3</v>
      </c>
      <c r="BS190" t="s">
        <v>219</v>
      </c>
      <c r="BT190" t="s">
        <v>220</v>
      </c>
      <c r="BU190" t="s">
        <v>206</v>
      </c>
      <c r="BX190" t="s">
        <v>234</v>
      </c>
      <c r="BY190" t="s">
        <v>234</v>
      </c>
      <c r="CA190" t="s">
        <v>287</v>
      </c>
      <c r="CC190" t="s">
        <v>301</v>
      </c>
      <c r="CD190" t="s">
        <v>223</v>
      </c>
      <c r="CE190" t="s">
        <v>242</v>
      </c>
      <c r="CJ190" t="s">
        <v>206</v>
      </c>
      <c r="CK190" t="s">
        <v>230</v>
      </c>
      <c r="CL190" t="s">
        <v>231</v>
      </c>
      <c r="CM190" t="s">
        <v>232</v>
      </c>
      <c r="CN190" t="s">
        <v>233</v>
      </c>
      <c r="CP190" t="s">
        <v>212</v>
      </c>
      <c r="CQ190" t="s">
        <v>212</v>
      </c>
      <c r="CR190" t="s">
        <v>212</v>
      </c>
      <c r="CS190" t="s">
        <v>212</v>
      </c>
      <c r="CY190" t="s">
        <v>212</v>
      </c>
      <c r="DB190" t="s">
        <v>234</v>
      </c>
      <c r="DE190" t="s">
        <v>212</v>
      </c>
      <c r="DF190" t="s">
        <v>212</v>
      </c>
      <c r="DG190" t="s">
        <v>235</v>
      </c>
      <c r="DH190" t="s">
        <v>212</v>
      </c>
      <c r="DJ190" t="s">
        <v>236</v>
      </c>
      <c r="DM190" t="s">
        <v>212</v>
      </c>
    </row>
    <row r="191" spans="1:184" x14ac:dyDescent="0.3">
      <c r="A191">
        <v>19573782</v>
      </c>
      <c r="B191">
        <v>7355433</v>
      </c>
      <c r="C191" t="str">
        <f>"150509600234"</f>
        <v>150509600234</v>
      </c>
      <c r="D191" t="s">
        <v>844</v>
      </c>
      <c r="E191" t="s">
        <v>845</v>
      </c>
      <c r="F191" t="s">
        <v>846</v>
      </c>
      <c r="G191" s="1">
        <v>42133</v>
      </c>
      <c r="I191" t="s">
        <v>199</v>
      </c>
      <c r="J191" t="s">
        <v>200</v>
      </c>
      <c r="K191" t="s">
        <v>201</v>
      </c>
      <c r="R191" t="str">
        <f>"КАЗАХСТАН, АКМОЛИНСКАЯ, СТЕПНОГОРСК, 24, 21"</f>
        <v>КАЗАХСТАН, АКМОЛИНСКАЯ, СТЕПНОГОРСК, 24, 21</v>
      </c>
      <c r="S191" t="str">
        <f>"ҚАЗАҚСТАН, АҚМОЛА, СТЕПНОГОР, 24, 21"</f>
        <v>ҚАЗАҚСТАН, АҚМОЛА, СТЕПНОГОР, 24, 21</v>
      </c>
      <c r="T191" t="str">
        <f>"24, 21"</f>
        <v>24, 21</v>
      </c>
      <c r="U191" t="str">
        <f>"24, 21"</f>
        <v>24, 21</v>
      </c>
      <c r="AC191" t="str">
        <f>"2021-07-13T00:00:00"</f>
        <v>2021-07-13T00:00:00</v>
      </c>
      <c r="AD191" t="str">
        <f t="shared" ref="AD191:AD199" si="7">"135"</f>
        <v>135</v>
      </c>
      <c r="AG191" t="s">
        <v>202</v>
      </c>
      <c r="AI191" t="s">
        <v>299</v>
      </c>
      <c r="AJ191" t="s">
        <v>540</v>
      </c>
      <c r="AK191" t="s">
        <v>253</v>
      </c>
      <c r="AL191" t="s">
        <v>206</v>
      </c>
      <c r="AN191" t="s">
        <v>254</v>
      </c>
      <c r="AO191">
        <v>2</v>
      </c>
      <c r="AP191" t="s">
        <v>208</v>
      </c>
      <c r="AQ191" t="s">
        <v>209</v>
      </c>
      <c r="AR191" t="s">
        <v>502</v>
      </c>
      <c r="AW191" t="s">
        <v>212</v>
      </c>
      <c r="AZ191" t="s">
        <v>209</v>
      </c>
      <c r="BI191" t="s">
        <v>212</v>
      </c>
      <c r="BJ191" t="s">
        <v>213</v>
      </c>
      <c r="BK191" t="s">
        <v>214</v>
      </c>
      <c r="BL191" t="s">
        <v>357</v>
      </c>
      <c r="BN191" t="s">
        <v>281</v>
      </c>
      <c r="BO191" t="s">
        <v>209</v>
      </c>
      <c r="BP191" t="s">
        <v>241</v>
      </c>
      <c r="BQ191">
        <v>5</v>
      </c>
      <c r="BS191" t="s">
        <v>219</v>
      </c>
      <c r="BT191" t="s">
        <v>220</v>
      </c>
      <c r="BU191" t="s">
        <v>206</v>
      </c>
      <c r="BZ191" t="s">
        <v>541</v>
      </c>
      <c r="CA191" t="s">
        <v>287</v>
      </c>
      <c r="CC191" t="s">
        <v>222</v>
      </c>
      <c r="CD191" t="s">
        <v>223</v>
      </c>
      <c r="CE191" t="s">
        <v>242</v>
      </c>
      <c r="CJ191" t="s">
        <v>206</v>
      </c>
      <c r="CK191" t="s">
        <v>230</v>
      </c>
      <c r="CL191" t="s">
        <v>231</v>
      </c>
      <c r="CM191" t="s">
        <v>232</v>
      </c>
      <c r="CN191" t="s">
        <v>233</v>
      </c>
      <c r="CP191" t="s">
        <v>212</v>
      </c>
      <c r="CQ191" t="s">
        <v>212</v>
      </c>
      <c r="CR191" t="s">
        <v>212</v>
      </c>
      <c r="CS191" t="s">
        <v>212</v>
      </c>
      <c r="CY191" t="s">
        <v>212</v>
      </c>
      <c r="DB191" t="s">
        <v>234</v>
      </c>
      <c r="DE191" t="s">
        <v>212</v>
      </c>
      <c r="DF191" t="s">
        <v>212</v>
      </c>
      <c r="DG191" t="s">
        <v>235</v>
      </c>
      <c r="DH191" t="s">
        <v>212</v>
      </c>
      <c r="DJ191" t="s">
        <v>236</v>
      </c>
      <c r="DM191" t="s">
        <v>206</v>
      </c>
      <c r="GB191" t="s">
        <v>206</v>
      </c>
    </row>
    <row r="192" spans="1:184" x14ac:dyDescent="0.3">
      <c r="A192">
        <v>19563848</v>
      </c>
      <c r="B192">
        <v>11400545</v>
      </c>
      <c r="C192" t="str">
        <f>"140111501499"</f>
        <v>140111501499</v>
      </c>
      <c r="D192" t="s">
        <v>847</v>
      </c>
      <c r="E192" t="s">
        <v>720</v>
      </c>
      <c r="F192" t="s">
        <v>641</v>
      </c>
      <c r="G192" s="1">
        <v>41650</v>
      </c>
      <c r="I192" t="s">
        <v>240</v>
      </c>
      <c r="J192" t="s">
        <v>200</v>
      </c>
      <c r="K192" t="s">
        <v>260</v>
      </c>
      <c r="Q192" t="s">
        <v>212</v>
      </c>
      <c r="R192" t="str">
        <f>"КАЗАХСТАН, АКМОЛИНСКАЯ, СТЕПНОГОРСК, 51, 407"</f>
        <v>КАЗАХСТАН, АКМОЛИНСКАЯ, СТЕПНОГОРСК, 51, 407</v>
      </c>
      <c r="S192" t="str">
        <f>"ҚАЗАҚСТАН, АҚМОЛА, СТЕПНОГОР, 51, 407"</f>
        <v>ҚАЗАҚСТАН, АҚМОЛА, СТЕПНОГОР, 51, 407</v>
      </c>
      <c r="T192" t="str">
        <f>"51, 407"</f>
        <v>51, 407</v>
      </c>
      <c r="U192" t="str">
        <f>"51, 407"</f>
        <v>51, 407</v>
      </c>
      <c r="AC192" t="str">
        <f>"2021-07-09T00:00:00"</f>
        <v>2021-07-09T00:00:00</v>
      </c>
      <c r="AD192" t="str">
        <f t="shared" si="7"/>
        <v>135</v>
      </c>
      <c r="AG192" t="s">
        <v>202</v>
      </c>
      <c r="AI192" t="s">
        <v>299</v>
      </c>
      <c r="AJ192" t="s">
        <v>540</v>
      </c>
      <c r="AK192" t="s">
        <v>261</v>
      </c>
      <c r="AL192" t="s">
        <v>206</v>
      </c>
      <c r="AN192" t="s">
        <v>207</v>
      </c>
      <c r="AO192">
        <v>2</v>
      </c>
      <c r="AP192" t="s">
        <v>208</v>
      </c>
      <c r="AQ192" t="s">
        <v>209</v>
      </c>
      <c r="AR192" t="s">
        <v>502</v>
      </c>
      <c r="AW192" t="s">
        <v>212</v>
      </c>
      <c r="AZ192" t="s">
        <v>209</v>
      </c>
      <c r="BI192" t="s">
        <v>212</v>
      </c>
      <c r="BJ192" t="s">
        <v>213</v>
      </c>
      <c r="BK192" t="s">
        <v>214</v>
      </c>
      <c r="BL192" t="s">
        <v>357</v>
      </c>
      <c r="BN192" t="s">
        <v>216</v>
      </c>
      <c r="BO192" t="s">
        <v>209</v>
      </c>
      <c r="BP192" t="s">
        <v>241</v>
      </c>
      <c r="BQ192">
        <v>4</v>
      </c>
      <c r="BS192" t="s">
        <v>219</v>
      </c>
      <c r="BT192" t="s">
        <v>220</v>
      </c>
      <c r="BU192" t="s">
        <v>206</v>
      </c>
      <c r="BZ192" t="s">
        <v>541</v>
      </c>
      <c r="CA192" t="s">
        <v>287</v>
      </c>
      <c r="CC192" t="s">
        <v>222</v>
      </c>
      <c r="CD192" t="s">
        <v>223</v>
      </c>
      <c r="CE192" t="s">
        <v>242</v>
      </c>
      <c r="CJ192" t="s">
        <v>206</v>
      </c>
      <c r="CK192" t="s">
        <v>230</v>
      </c>
      <c r="CL192" t="s">
        <v>231</v>
      </c>
      <c r="CM192" t="s">
        <v>232</v>
      </c>
      <c r="CN192" t="s">
        <v>233</v>
      </c>
      <c r="CP192" t="s">
        <v>212</v>
      </c>
      <c r="CQ192" t="s">
        <v>212</v>
      </c>
      <c r="CR192" t="s">
        <v>212</v>
      </c>
      <c r="CS192" t="s">
        <v>212</v>
      </c>
      <c r="CY192" t="s">
        <v>212</v>
      </c>
      <c r="DB192" t="s">
        <v>234</v>
      </c>
      <c r="DE192" t="s">
        <v>212</v>
      </c>
      <c r="DF192" t="s">
        <v>212</v>
      </c>
      <c r="DG192" t="s">
        <v>235</v>
      </c>
      <c r="DH192" t="s">
        <v>212</v>
      </c>
      <c r="DJ192" t="s">
        <v>236</v>
      </c>
      <c r="DM192" t="s">
        <v>212</v>
      </c>
      <c r="GB192" t="s">
        <v>206</v>
      </c>
    </row>
    <row r="193" spans="1:184" x14ac:dyDescent="0.3">
      <c r="A193">
        <v>19559453</v>
      </c>
      <c r="B193">
        <v>806283</v>
      </c>
      <c r="C193" t="str">
        <f>"140713600787"</f>
        <v>140713600787</v>
      </c>
      <c r="D193" t="s">
        <v>848</v>
      </c>
      <c r="E193" t="s">
        <v>725</v>
      </c>
      <c r="F193" t="s">
        <v>305</v>
      </c>
      <c r="G193" s="1">
        <v>41833</v>
      </c>
      <c r="I193" t="s">
        <v>199</v>
      </c>
      <c r="J193" t="s">
        <v>200</v>
      </c>
      <c r="K193" t="s">
        <v>306</v>
      </c>
      <c r="L193" t="s">
        <v>212</v>
      </c>
      <c r="Q193" t="s">
        <v>212</v>
      </c>
      <c r="R193" t="str">
        <f>"КАЗАХСТАН, АКМОЛИНСКАЯ, СТЕПНОГОРСК, 29, 36"</f>
        <v>КАЗАХСТАН, АКМОЛИНСКАЯ, СТЕПНОГОРСК, 29, 36</v>
      </c>
      <c r="S193" t="str">
        <f>"ҚАЗАҚСТАН, АҚМОЛА, СТЕПНОГОР, 29, 36"</f>
        <v>ҚАЗАҚСТАН, АҚМОЛА, СТЕПНОГОР, 29, 36</v>
      </c>
      <c r="T193" t="str">
        <f>"29, 36"</f>
        <v>29, 36</v>
      </c>
      <c r="U193" t="str">
        <f>"29, 36"</f>
        <v>29, 36</v>
      </c>
      <c r="AC193" t="str">
        <f>"2021-07-08T00:00:00"</f>
        <v>2021-07-08T00:00:00</v>
      </c>
      <c r="AD193" t="str">
        <f t="shared" si="7"/>
        <v>135</v>
      </c>
      <c r="AG193" t="s">
        <v>202</v>
      </c>
      <c r="AI193" t="s">
        <v>299</v>
      </c>
      <c r="AJ193" t="s">
        <v>540</v>
      </c>
      <c r="AK193" t="s">
        <v>205</v>
      </c>
      <c r="AL193" t="s">
        <v>206</v>
      </c>
      <c r="AN193" t="s">
        <v>207</v>
      </c>
      <c r="AO193">
        <v>2</v>
      </c>
      <c r="AP193" t="s">
        <v>208</v>
      </c>
      <c r="AQ193" t="s">
        <v>209</v>
      </c>
      <c r="AR193" t="s">
        <v>502</v>
      </c>
      <c r="AW193" t="s">
        <v>212</v>
      </c>
      <c r="AZ193" t="s">
        <v>209</v>
      </c>
      <c r="BI193" t="s">
        <v>212</v>
      </c>
      <c r="BJ193" t="s">
        <v>213</v>
      </c>
      <c r="BK193" t="s">
        <v>214</v>
      </c>
      <c r="BL193" t="s">
        <v>357</v>
      </c>
      <c r="BN193" t="s">
        <v>281</v>
      </c>
      <c r="BO193" t="s">
        <v>209</v>
      </c>
      <c r="BP193" t="s">
        <v>241</v>
      </c>
      <c r="BQ193">
        <v>5</v>
      </c>
      <c r="BS193" t="s">
        <v>219</v>
      </c>
      <c r="BT193" t="s">
        <v>220</v>
      </c>
      <c r="BU193" t="s">
        <v>206</v>
      </c>
      <c r="BX193" t="s">
        <v>234</v>
      </c>
      <c r="BY193" t="s">
        <v>234</v>
      </c>
      <c r="BZ193" t="s">
        <v>541</v>
      </c>
      <c r="CA193" t="s">
        <v>287</v>
      </c>
      <c r="CC193" t="s">
        <v>222</v>
      </c>
      <c r="CD193" t="s">
        <v>223</v>
      </c>
      <c r="CE193" t="s">
        <v>242</v>
      </c>
      <c r="CJ193" t="s">
        <v>206</v>
      </c>
      <c r="CK193" t="s">
        <v>230</v>
      </c>
      <c r="CL193" t="s">
        <v>231</v>
      </c>
      <c r="CM193" t="s">
        <v>232</v>
      </c>
      <c r="CN193" t="s">
        <v>233</v>
      </c>
      <c r="CP193" t="s">
        <v>212</v>
      </c>
      <c r="CQ193" t="s">
        <v>212</v>
      </c>
      <c r="CR193" t="s">
        <v>212</v>
      </c>
      <c r="CS193" t="s">
        <v>212</v>
      </c>
      <c r="CY193" t="s">
        <v>212</v>
      </c>
      <c r="DB193" t="s">
        <v>234</v>
      </c>
      <c r="DE193" t="s">
        <v>212</v>
      </c>
      <c r="DF193" t="s">
        <v>212</v>
      </c>
      <c r="DG193" t="s">
        <v>235</v>
      </c>
      <c r="DH193" t="s">
        <v>212</v>
      </c>
      <c r="DJ193" t="s">
        <v>236</v>
      </c>
      <c r="DM193" t="s">
        <v>212</v>
      </c>
      <c r="GB193" t="s">
        <v>206</v>
      </c>
    </row>
    <row r="194" spans="1:184" x14ac:dyDescent="0.3">
      <c r="A194">
        <v>19508076</v>
      </c>
      <c r="B194">
        <v>921622</v>
      </c>
      <c r="C194" t="str">
        <f>"141023503599"</f>
        <v>141023503599</v>
      </c>
      <c r="D194" t="s">
        <v>849</v>
      </c>
      <c r="E194" t="s">
        <v>850</v>
      </c>
      <c r="F194" t="s">
        <v>558</v>
      </c>
      <c r="G194" s="1">
        <v>41935</v>
      </c>
      <c r="I194" t="s">
        <v>240</v>
      </c>
      <c r="J194" t="s">
        <v>200</v>
      </c>
      <c r="K194" t="s">
        <v>260</v>
      </c>
      <c r="R194" t="str">
        <f>"КАЗАХСТАН, АКМОЛИНСКАЯ, СТЕПНОГОРСК, 10, 42"</f>
        <v>КАЗАХСТАН, АКМОЛИНСКАЯ, СТЕПНОГОРСК, 10, 42</v>
      </c>
      <c r="S194" t="str">
        <f>"ҚАЗАҚСТАН, АҚМОЛА, СТЕПНОГОР, 10, 42"</f>
        <v>ҚАЗАҚСТАН, АҚМОЛА, СТЕПНОГОР, 10, 42</v>
      </c>
      <c r="T194" t="str">
        <f>"10, 42"</f>
        <v>10, 42</v>
      </c>
      <c r="U194" t="str">
        <f>"10, 42"</f>
        <v>10, 42</v>
      </c>
      <c r="AC194" t="str">
        <f>"2021-06-25T00:00:00"</f>
        <v>2021-06-25T00:00:00</v>
      </c>
      <c r="AD194" t="str">
        <f t="shared" si="7"/>
        <v>135</v>
      </c>
      <c r="AG194" t="s">
        <v>202</v>
      </c>
      <c r="AI194" t="s">
        <v>299</v>
      </c>
      <c r="AJ194" t="s">
        <v>540</v>
      </c>
      <c r="AK194" t="s">
        <v>205</v>
      </c>
      <c r="AL194" t="s">
        <v>206</v>
      </c>
      <c r="AN194" t="s">
        <v>207</v>
      </c>
      <c r="AO194">
        <v>2</v>
      </c>
      <c r="AP194" t="s">
        <v>208</v>
      </c>
      <c r="AQ194" t="s">
        <v>209</v>
      </c>
      <c r="AR194" t="s">
        <v>502</v>
      </c>
      <c r="AW194" t="s">
        <v>212</v>
      </c>
      <c r="AZ194" t="s">
        <v>209</v>
      </c>
      <c r="BI194" t="s">
        <v>212</v>
      </c>
      <c r="BJ194" t="s">
        <v>213</v>
      </c>
      <c r="BK194" t="s">
        <v>214</v>
      </c>
      <c r="BL194" t="s">
        <v>357</v>
      </c>
      <c r="BN194" t="s">
        <v>216</v>
      </c>
      <c r="BO194" t="s">
        <v>209</v>
      </c>
      <c r="BP194" t="s">
        <v>241</v>
      </c>
      <c r="BQ194">
        <v>4</v>
      </c>
      <c r="BS194" t="s">
        <v>219</v>
      </c>
      <c r="BT194" t="s">
        <v>220</v>
      </c>
      <c r="BU194" t="s">
        <v>206</v>
      </c>
      <c r="BZ194" t="s">
        <v>541</v>
      </c>
      <c r="CA194" t="s">
        <v>287</v>
      </c>
      <c r="CC194" t="s">
        <v>222</v>
      </c>
      <c r="CD194" t="s">
        <v>223</v>
      </c>
      <c r="CE194" t="s">
        <v>242</v>
      </c>
      <c r="CJ194" t="s">
        <v>206</v>
      </c>
      <c r="CK194" t="s">
        <v>230</v>
      </c>
      <c r="CL194" t="s">
        <v>231</v>
      </c>
      <c r="CM194" t="s">
        <v>232</v>
      </c>
      <c r="CN194" t="s">
        <v>233</v>
      </c>
      <c r="CP194" t="s">
        <v>212</v>
      </c>
      <c r="CQ194" t="s">
        <v>212</v>
      </c>
      <c r="CR194" t="s">
        <v>212</v>
      </c>
      <c r="CS194" t="s">
        <v>212</v>
      </c>
      <c r="CY194" t="s">
        <v>212</v>
      </c>
      <c r="DB194" t="s">
        <v>234</v>
      </c>
      <c r="DE194" t="s">
        <v>212</v>
      </c>
      <c r="DF194" t="s">
        <v>212</v>
      </c>
      <c r="DG194" t="s">
        <v>235</v>
      </c>
      <c r="DH194" t="s">
        <v>212</v>
      </c>
      <c r="DJ194" t="s">
        <v>236</v>
      </c>
      <c r="DM194" t="s">
        <v>212</v>
      </c>
      <c r="GB194" t="s">
        <v>206</v>
      </c>
    </row>
    <row r="195" spans="1:184" x14ac:dyDescent="0.3">
      <c r="A195">
        <v>19496352</v>
      </c>
      <c r="B195">
        <v>921102</v>
      </c>
      <c r="C195" t="str">
        <f>"141016600463"</f>
        <v>141016600463</v>
      </c>
      <c r="D195" t="s">
        <v>851</v>
      </c>
      <c r="E195" t="s">
        <v>516</v>
      </c>
      <c r="F195" t="s">
        <v>852</v>
      </c>
      <c r="G195" s="1">
        <v>41928</v>
      </c>
      <c r="I195" t="s">
        <v>199</v>
      </c>
      <c r="J195" t="s">
        <v>200</v>
      </c>
      <c r="K195" t="s">
        <v>260</v>
      </c>
      <c r="R195" t="str">
        <f>"КАЗАХСТАН, АКМОЛИНСКАЯ, СТЕПНОГОРСК, 64/2, 3"</f>
        <v>КАЗАХСТАН, АКМОЛИНСКАЯ, СТЕПНОГОРСК, 64/2, 3</v>
      </c>
      <c r="S195" t="str">
        <f>"ҚАЗАҚСТАН, АҚМОЛА, СТЕПНОГОР, 64/2, 3"</f>
        <v>ҚАЗАҚСТАН, АҚМОЛА, СТЕПНОГОР, 64/2, 3</v>
      </c>
      <c r="T195" t="str">
        <f>"64/2, 3"</f>
        <v>64/2, 3</v>
      </c>
      <c r="U195" t="str">
        <f>"64/2, 3"</f>
        <v>64/2, 3</v>
      </c>
      <c r="AC195" t="str">
        <f>"2021-07-23T00:00:00"</f>
        <v>2021-07-23T00:00:00</v>
      </c>
      <c r="AD195" t="str">
        <f t="shared" si="7"/>
        <v>135</v>
      </c>
      <c r="AG195" t="s">
        <v>202</v>
      </c>
      <c r="AI195" t="s">
        <v>299</v>
      </c>
      <c r="AJ195" t="s">
        <v>540</v>
      </c>
      <c r="AK195" t="s">
        <v>205</v>
      </c>
      <c r="AL195" t="s">
        <v>206</v>
      </c>
      <c r="AN195" t="s">
        <v>207</v>
      </c>
      <c r="AO195">
        <v>2</v>
      </c>
      <c r="AP195" t="s">
        <v>208</v>
      </c>
      <c r="AQ195" t="s">
        <v>209</v>
      </c>
      <c r="AR195" t="s">
        <v>502</v>
      </c>
      <c r="AW195" t="s">
        <v>212</v>
      </c>
      <c r="AZ195" t="s">
        <v>209</v>
      </c>
      <c r="BI195" t="s">
        <v>212</v>
      </c>
      <c r="BJ195" t="s">
        <v>213</v>
      </c>
      <c r="BK195" t="s">
        <v>214</v>
      </c>
      <c r="BL195" t="s">
        <v>357</v>
      </c>
      <c r="BN195" t="s">
        <v>281</v>
      </c>
      <c r="BO195" t="s">
        <v>209</v>
      </c>
      <c r="BP195" t="s">
        <v>241</v>
      </c>
      <c r="BQ195">
        <v>5</v>
      </c>
      <c r="BS195" t="s">
        <v>219</v>
      </c>
      <c r="BT195" t="s">
        <v>220</v>
      </c>
      <c r="BU195" t="s">
        <v>206</v>
      </c>
      <c r="BZ195" t="s">
        <v>541</v>
      </c>
      <c r="CA195" t="s">
        <v>287</v>
      </c>
      <c r="CC195" t="s">
        <v>222</v>
      </c>
      <c r="CD195" t="s">
        <v>223</v>
      </c>
      <c r="CE195" t="s">
        <v>242</v>
      </c>
      <c r="CJ195" t="s">
        <v>206</v>
      </c>
      <c r="CK195" t="s">
        <v>230</v>
      </c>
      <c r="CL195" t="s">
        <v>231</v>
      </c>
      <c r="CM195" t="s">
        <v>232</v>
      </c>
      <c r="CN195" t="s">
        <v>233</v>
      </c>
      <c r="CP195" t="s">
        <v>212</v>
      </c>
      <c r="CQ195" t="s">
        <v>212</v>
      </c>
      <c r="CR195" t="s">
        <v>212</v>
      </c>
      <c r="CS195" t="s">
        <v>212</v>
      </c>
      <c r="CY195" t="s">
        <v>212</v>
      </c>
      <c r="DB195" t="s">
        <v>234</v>
      </c>
      <c r="DE195" t="s">
        <v>212</v>
      </c>
      <c r="DF195" t="s">
        <v>212</v>
      </c>
      <c r="DG195" t="s">
        <v>235</v>
      </c>
      <c r="DH195" t="s">
        <v>212</v>
      </c>
      <c r="DJ195" t="s">
        <v>236</v>
      </c>
      <c r="DM195" t="s">
        <v>212</v>
      </c>
      <c r="GB195" t="s">
        <v>206</v>
      </c>
    </row>
    <row r="196" spans="1:184" x14ac:dyDescent="0.3">
      <c r="A196">
        <v>19487797</v>
      </c>
      <c r="B196">
        <v>807383</v>
      </c>
      <c r="C196" t="str">
        <f>"150220503945"</f>
        <v>150220503945</v>
      </c>
      <c r="D196" t="s">
        <v>853</v>
      </c>
      <c r="E196" t="s">
        <v>854</v>
      </c>
      <c r="F196" t="s">
        <v>403</v>
      </c>
      <c r="G196" s="1">
        <v>42055</v>
      </c>
      <c r="I196" t="s">
        <v>240</v>
      </c>
      <c r="J196" t="s">
        <v>200</v>
      </c>
      <c r="K196" t="s">
        <v>260</v>
      </c>
      <c r="R196" t="str">
        <f>"КАЗАХСТАН, АКМОЛИНСКАЯ, СТЕПНОГОРСК, 26, 60"</f>
        <v>КАЗАХСТАН, АКМОЛИНСКАЯ, СТЕПНОГОРСК, 26, 60</v>
      </c>
      <c r="S196" t="str">
        <f>"ҚАЗАҚСТАН, АҚМОЛА, СТЕПНОГОР, 26, 60"</f>
        <v>ҚАЗАҚСТАН, АҚМОЛА, СТЕПНОГОР, 26, 60</v>
      </c>
      <c r="T196" t="str">
        <f>"26, 60"</f>
        <v>26, 60</v>
      </c>
      <c r="U196" t="str">
        <f>"26, 60"</f>
        <v>26, 60</v>
      </c>
      <c r="AC196" t="str">
        <f>"2021-06-18T00:00:00"</f>
        <v>2021-06-18T00:00:00</v>
      </c>
      <c r="AD196" t="str">
        <f t="shared" si="7"/>
        <v>135</v>
      </c>
      <c r="AG196" t="s">
        <v>202</v>
      </c>
      <c r="AI196" t="s">
        <v>299</v>
      </c>
      <c r="AJ196" t="s">
        <v>540</v>
      </c>
      <c r="AK196" t="s">
        <v>205</v>
      </c>
      <c r="AL196" t="s">
        <v>206</v>
      </c>
      <c r="AN196" t="s">
        <v>207</v>
      </c>
      <c r="AO196">
        <v>2</v>
      </c>
      <c r="AP196" t="s">
        <v>208</v>
      </c>
      <c r="AQ196" t="s">
        <v>209</v>
      </c>
      <c r="AR196" t="s">
        <v>502</v>
      </c>
      <c r="AW196" t="s">
        <v>212</v>
      </c>
      <c r="AZ196" t="s">
        <v>209</v>
      </c>
      <c r="BI196" t="s">
        <v>212</v>
      </c>
      <c r="BJ196" t="s">
        <v>213</v>
      </c>
      <c r="BK196" t="s">
        <v>214</v>
      </c>
      <c r="BL196" t="s">
        <v>357</v>
      </c>
      <c r="BN196" t="s">
        <v>281</v>
      </c>
      <c r="BO196" t="s">
        <v>209</v>
      </c>
      <c r="BP196" t="s">
        <v>241</v>
      </c>
      <c r="BQ196">
        <v>5</v>
      </c>
      <c r="BS196" t="s">
        <v>219</v>
      </c>
      <c r="BT196" t="s">
        <v>220</v>
      </c>
      <c r="BU196" t="s">
        <v>206</v>
      </c>
      <c r="BZ196" t="s">
        <v>541</v>
      </c>
      <c r="CA196" t="s">
        <v>287</v>
      </c>
      <c r="CC196" t="s">
        <v>222</v>
      </c>
      <c r="CD196" t="s">
        <v>223</v>
      </c>
      <c r="CE196" t="s">
        <v>242</v>
      </c>
      <c r="CJ196" t="s">
        <v>206</v>
      </c>
      <c r="CK196" t="s">
        <v>230</v>
      </c>
      <c r="CL196" t="s">
        <v>231</v>
      </c>
      <c r="CM196" t="s">
        <v>232</v>
      </c>
      <c r="CN196" t="s">
        <v>233</v>
      </c>
      <c r="CP196" t="s">
        <v>212</v>
      </c>
      <c r="CQ196" t="s">
        <v>212</v>
      </c>
      <c r="CR196" t="s">
        <v>212</v>
      </c>
      <c r="CS196" t="s">
        <v>212</v>
      </c>
      <c r="CY196" t="s">
        <v>212</v>
      </c>
      <c r="DB196" t="s">
        <v>234</v>
      </c>
      <c r="DE196" t="s">
        <v>212</v>
      </c>
      <c r="DF196" t="s">
        <v>212</v>
      </c>
      <c r="DG196" t="s">
        <v>235</v>
      </c>
      <c r="DH196" t="s">
        <v>212</v>
      </c>
      <c r="DJ196" t="s">
        <v>236</v>
      </c>
      <c r="DM196" t="s">
        <v>212</v>
      </c>
      <c r="GB196" t="s">
        <v>206</v>
      </c>
    </row>
    <row r="197" spans="1:184" x14ac:dyDescent="0.3">
      <c r="A197">
        <v>19487775</v>
      </c>
      <c r="B197">
        <v>8750121</v>
      </c>
      <c r="C197" t="str">
        <f>"141129603630"</f>
        <v>141129603630</v>
      </c>
      <c r="D197" t="s">
        <v>855</v>
      </c>
      <c r="E197" t="s">
        <v>372</v>
      </c>
      <c r="F197" t="s">
        <v>856</v>
      </c>
      <c r="G197" s="1">
        <v>41972</v>
      </c>
      <c r="I197" t="s">
        <v>199</v>
      </c>
      <c r="J197" t="s">
        <v>200</v>
      </c>
      <c r="K197" t="s">
        <v>260</v>
      </c>
      <c r="R197" t="str">
        <f>"КАЗАХСТАН, АКМОЛИНСКАЯ, СТЕПНОГОРСК, 70, 51"</f>
        <v>КАЗАХСТАН, АКМОЛИНСКАЯ, СТЕПНОГОРСК, 70, 51</v>
      </c>
      <c r="S197" t="str">
        <f>"ҚАЗАҚСТАН, АҚМОЛА, СТЕПНОГОР, 70, 51"</f>
        <v>ҚАЗАҚСТАН, АҚМОЛА, СТЕПНОГОР, 70, 51</v>
      </c>
      <c r="T197" t="str">
        <f>"70, 51"</f>
        <v>70, 51</v>
      </c>
      <c r="U197" t="str">
        <f>"70, 51"</f>
        <v>70, 51</v>
      </c>
      <c r="AC197" t="str">
        <f>"2021-06-21T00:00:00"</f>
        <v>2021-06-21T00:00:00</v>
      </c>
      <c r="AD197" t="str">
        <f t="shared" si="7"/>
        <v>135</v>
      </c>
      <c r="AG197" t="s">
        <v>202</v>
      </c>
      <c r="AI197" t="s">
        <v>299</v>
      </c>
      <c r="AJ197" t="s">
        <v>540</v>
      </c>
      <c r="AK197" t="s">
        <v>205</v>
      </c>
      <c r="AL197" t="s">
        <v>206</v>
      </c>
      <c r="AN197" t="s">
        <v>207</v>
      </c>
      <c r="AO197">
        <v>2</v>
      </c>
      <c r="AP197" t="s">
        <v>208</v>
      </c>
      <c r="AQ197" t="s">
        <v>209</v>
      </c>
      <c r="AR197" t="s">
        <v>502</v>
      </c>
      <c r="AW197" t="s">
        <v>212</v>
      </c>
      <c r="AZ197" t="s">
        <v>209</v>
      </c>
      <c r="BI197" t="s">
        <v>212</v>
      </c>
      <c r="BJ197" t="s">
        <v>213</v>
      </c>
      <c r="BK197" t="s">
        <v>214</v>
      </c>
      <c r="BL197" t="s">
        <v>357</v>
      </c>
      <c r="BN197" t="s">
        <v>247</v>
      </c>
      <c r="BO197" t="s">
        <v>209</v>
      </c>
      <c r="BP197" t="s">
        <v>241</v>
      </c>
      <c r="BQ197">
        <v>3</v>
      </c>
      <c r="BS197" t="s">
        <v>219</v>
      </c>
      <c r="BT197" t="s">
        <v>220</v>
      </c>
      <c r="BU197" t="s">
        <v>206</v>
      </c>
      <c r="BZ197" t="s">
        <v>541</v>
      </c>
      <c r="CA197" t="s">
        <v>287</v>
      </c>
      <c r="CC197" t="s">
        <v>222</v>
      </c>
      <c r="CD197" t="s">
        <v>223</v>
      </c>
      <c r="CE197" t="s">
        <v>242</v>
      </c>
      <c r="CJ197" t="s">
        <v>206</v>
      </c>
      <c r="CK197" t="s">
        <v>230</v>
      </c>
      <c r="CL197" t="s">
        <v>231</v>
      </c>
      <c r="CM197" t="s">
        <v>232</v>
      </c>
      <c r="CN197" t="s">
        <v>233</v>
      </c>
      <c r="CP197" t="s">
        <v>212</v>
      </c>
      <c r="CQ197" t="s">
        <v>212</v>
      </c>
      <c r="CR197" t="s">
        <v>212</v>
      </c>
      <c r="CS197" t="s">
        <v>212</v>
      </c>
      <c r="CY197" t="s">
        <v>212</v>
      </c>
      <c r="DB197" t="s">
        <v>234</v>
      </c>
      <c r="DE197" t="s">
        <v>212</v>
      </c>
      <c r="DF197" t="s">
        <v>212</v>
      </c>
      <c r="DG197" t="s">
        <v>235</v>
      </c>
      <c r="DH197" t="s">
        <v>212</v>
      </c>
      <c r="DJ197" t="s">
        <v>236</v>
      </c>
      <c r="DM197" t="s">
        <v>212</v>
      </c>
      <c r="GB197" t="s">
        <v>206</v>
      </c>
    </row>
    <row r="198" spans="1:184" x14ac:dyDescent="0.3">
      <c r="A198">
        <v>19375120</v>
      </c>
      <c r="B198">
        <v>804180</v>
      </c>
      <c r="C198" t="str">
        <f>"150128601876"</f>
        <v>150128601876</v>
      </c>
      <c r="D198" t="s">
        <v>857</v>
      </c>
      <c r="E198" t="s">
        <v>516</v>
      </c>
      <c r="F198" t="s">
        <v>400</v>
      </c>
      <c r="G198" s="1">
        <v>42032</v>
      </c>
      <c r="I198" t="s">
        <v>199</v>
      </c>
      <c r="J198" t="s">
        <v>200</v>
      </c>
      <c r="K198" t="s">
        <v>260</v>
      </c>
      <c r="R198" t="str">
        <f>"КАЗАХСТАН, АКМОЛИНСКАЯ, СТЕПНОГОРСК, 33, 67"</f>
        <v>КАЗАХСТАН, АКМОЛИНСКАЯ, СТЕПНОГОРСК, 33, 67</v>
      </c>
      <c r="S198" t="str">
        <f>"ҚАЗАҚСТАН, АҚМОЛА, СТЕПНОГОР, 33, 67"</f>
        <v>ҚАЗАҚСТАН, АҚМОЛА, СТЕПНОГОР, 33, 67</v>
      </c>
      <c r="T198" t="str">
        <f>"33, 67"</f>
        <v>33, 67</v>
      </c>
      <c r="U198" t="str">
        <f>"33, 67"</f>
        <v>33, 67</v>
      </c>
      <c r="AC198" t="str">
        <f>"2021-07-14T00:00:00"</f>
        <v>2021-07-14T00:00:00</v>
      </c>
      <c r="AD198" t="str">
        <f t="shared" si="7"/>
        <v>135</v>
      </c>
      <c r="AG198" t="s">
        <v>202</v>
      </c>
      <c r="AI198" t="s">
        <v>299</v>
      </c>
      <c r="AJ198" t="s">
        <v>540</v>
      </c>
      <c r="AK198" t="s">
        <v>205</v>
      </c>
      <c r="AL198" t="s">
        <v>206</v>
      </c>
      <c r="AN198" t="s">
        <v>207</v>
      </c>
      <c r="AO198">
        <v>2</v>
      </c>
      <c r="AP198" t="s">
        <v>208</v>
      </c>
      <c r="AQ198" t="s">
        <v>209</v>
      </c>
      <c r="AR198" t="s">
        <v>502</v>
      </c>
      <c r="AW198" t="s">
        <v>212</v>
      </c>
      <c r="AZ198" t="s">
        <v>209</v>
      </c>
      <c r="BI198" t="s">
        <v>212</v>
      </c>
      <c r="BJ198" t="s">
        <v>213</v>
      </c>
      <c r="BK198" t="s">
        <v>214</v>
      </c>
      <c r="BL198" t="s">
        <v>357</v>
      </c>
      <c r="BN198" t="s">
        <v>247</v>
      </c>
      <c r="BO198" t="s">
        <v>209</v>
      </c>
      <c r="BP198" t="s">
        <v>241</v>
      </c>
      <c r="BQ198">
        <v>3</v>
      </c>
      <c r="BS198" t="s">
        <v>219</v>
      </c>
      <c r="BT198" t="s">
        <v>220</v>
      </c>
      <c r="BU198" t="s">
        <v>206</v>
      </c>
      <c r="BZ198" t="s">
        <v>541</v>
      </c>
      <c r="CA198" t="s">
        <v>287</v>
      </c>
      <c r="CC198" t="s">
        <v>222</v>
      </c>
      <c r="CD198" t="s">
        <v>223</v>
      </c>
      <c r="CE198" t="s">
        <v>242</v>
      </c>
      <c r="CJ198" t="s">
        <v>206</v>
      </c>
      <c r="CK198" t="s">
        <v>230</v>
      </c>
      <c r="CL198" t="s">
        <v>231</v>
      </c>
      <c r="CM198" t="s">
        <v>232</v>
      </c>
      <c r="CN198" t="s">
        <v>233</v>
      </c>
      <c r="CP198" t="s">
        <v>212</v>
      </c>
      <c r="CQ198" t="s">
        <v>212</v>
      </c>
      <c r="CR198" t="s">
        <v>212</v>
      </c>
      <c r="CS198" t="s">
        <v>212</v>
      </c>
      <c r="CY198" t="s">
        <v>212</v>
      </c>
      <c r="DB198" t="s">
        <v>234</v>
      </c>
      <c r="DE198" t="s">
        <v>212</v>
      </c>
      <c r="DF198" t="s">
        <v>212</v>
      </c>
      <c r="DG198" t="s">
        <v>235</v>
      </c>
      <c r="DH198" t="s">
        <v>212</v>
      </c>
      <c r="DJ198" t="s">
        <v>236</v>
      </c>
      <c r="DM198" t="s">
        <v>206</v>
      </c>
      <c r="GB198" t="s">
        <v>206</v>
      </c>
    </row>
    <row r="199" spans="1:184" x14ac:dyDescent="0.3">
      <c r="A199">
        <v>19338149</v>
      </c>
      <c r="B199">
        <v>921202</v>
      </c>
      <c r="C199" t="str">
        <f>"140912600580"</f>
        <v>140912600580</v>
      </c>
      <c r="D199" t="s">
        <v>858</v>
      </c>
      <c r="E199" t="s">
        <v>279</v>
      </c>
      <c r="F199" t="s">
        <v>406</v>
      </c>
      <c r="G199" s="1">
        <v>41894</v>
      </c>
      <c r="I199" t="s">
        <v>199</v>
      </c>
      <c r="J199" t="s">
        <v>200</v>
      </c>
      <c r="K199" t="s">
        <v>268</v>
      </c>
      <c r="R199" t="str">
        <f>"КАЗАХСТАН, АКМОЛИНСКАЯ, СТЕПНОГОРСК, 33, 48"</f>
        <v>КАЗАХСТАН, АКМОЛИНСКАЯ, СТЕПНОГОРСК, 33, 48</v>
      </c>
      <c r="S199" t="str">
        <f>"ҚАЗАҚСТАН, АҚМОЛА, СТЕПНОГОР, 33, 48"</f>
        <v>ҚАЗАҚСТАН, АҚМОЛА, СТЕПНОГОР, 33, 48</v>
      </c>
      <c r="T199" t="str">
        <f>"33, 48"</f>
        <v>33, 48</v>
      </c>
      <c r="U199" t="str">
        <f>"33, 48"</f>
        <v>33, 48</v>
      </c>
      <c r="AC199" t="str">
        <f>"2021-07-03T00:00:00"</f>
        <v>2021-07-03T00:00:00</v>
      </c>
      <c r="AD199" t="str">
        <f t="shared" si="7"/>
        <v>135</v>
      </c>
      <c r="AG199" t="s">
        <v>202</v>
      </c>
      <c r="AI199" t="s">
        <v>299</v>
      </c>
      <c r="AJ199" t="s">
        <v>540</v>
      </c>
      <c r="AK199" t="s">
        <v>261</v>
      </c>
      <c r="AL199" t="s">
        <v>206</v>
      </c>
      <c r="AN199" t="s">
        <v>207</v>
      </c>
      <c r="AO199">
        <v>2</v>
      </c>
      <c r="AP199" t="s">
        <v>208</v>
      </c>
      <c r="AQ199" t="s">
        <v>209</v>
      </c>
      <c r="AR199" t="s">
        <v>502</v>
      </c>
      <c r="AW199" t="s">
        <v>212</v>
      </c>
      <c r="AZ199" t="s">
        <v>209</v>
      </c>
      <c r="BI199" t="s">
        <v>212</v>
      </c>
      <c r="BJ199" t="s">
        <v>213</v>
      </c>
      <c r="BK199" t="s">
        <v>214</v>
      </c>
      <c r="BL199" t="s">
        <v>357</v>
      </c>
      <c r="BN199" t="s">
        <v>281</v>
      </c>
      <c r="BO199" t="s">
        <v>209</v>
      </c>
      <c r="BP199" t="s">
        <v>241</v>
      </c>
      <c r="BQ199">
        <v>5</v>
      </c>
      <c r="BS199" t="s">
        <v>219</v>
      </c>
      <c r="BT199" t="s">
        <v>220</v>
      </c>
      <c r="BU199" t="s">
        <v>206</v>
      </c>
      <c r="BX199" t="s">
        <v>234</v>
      </c>
      <c r="BY199" t="s">
        <v>234</v>
      </c>
      <c r="BZ199" s="2">
        <v>45566</v>
      </c>
      <c r="CA199" t="s">
        <v>287</v>
      </c>
      <c r="CC199" t="s">
        <v>222</v>
      </c>
      <c r="CD199" t="s">
        <v>223</v>
      </c>
      <c r="CE199" t="s">
        <v>242</v>
      </c>
      <c r="CJ199" t="s">
        <v>206</v>
      </c>
      <c r="CK199" t="s">
        <v>230</v>
      </c>
      <c r="CL199" t="s">
        <v>231</v>
      </c>
      <c r="CM199" t="s">
        <v>232</v>
      </c>
      <c r="CN199" t="s">
        <v>233</v>
      </c>
      <c r="CP199" t="s">
        <v>212</v>
      </c>
      <c r="CQ199" t="s">
        <v>212</v>
      </c>
      <c r="CR199" t="s">
        <v>212</v>
      </c>
      <c r="CS199" t="s">
        <v>212</v>
      </c>
      <c r="CY199" t="s">
        <v>212</v>
      </c>
      <c r="DB199" t="s">
        <v>234</v>
      </c>
      <c r="DE199" t="s">
        <v>212</v>
      </c>
      <c r="DF199" t="s">
        <v>212</v>
      </c>
      <c r="DG199" t="s">
        <v>235</v>
      </c>
      <c r="DH199" t="s">
        <v>212</v>
      </c>
      <c r="DJ199" t="s">
        <v>236</v>
      </c>
      <c r="DM199" t="s">
        <v>212</v>
      </c>
      <c r="GB199" t="s">
        <v>206</v>
      </c>
    </row>
    <row r="200" spans="1:184" x14ac:dyDescent="0.3">
      <c r="A200">
        <v>19313422</v>
      </c>
      <c r="B200">
        <v>763473</v>
      </c>
      <c r="C200" t="str">
        <f>"130801505966"</f>
        <v>130801505966</v>
      </c>
      <c r="D200" t="s">
        <v>859</v>
      </c>
      <c r="E200" t="s">
        <v>860</v>
      </c>
      <c r="F200" t="s">
        <v>403</v>
      </c>
      <c r="G200" s="1">
        <v>41487</v>
      </c>
      <c r="I200" t="s">
        <v>240</v>
      </c>
      <c r="J200" t="s">
        <v>200</v>
      </c>
      <c r="K200" t="s">
        <v>469</v>
      </c>
      <c r="R200" t="str">
        <f>"КАЗАХСТАН, АКМОЛИНСКАЯ, СТЕПНОГОРСК, 21, 96"</f>
        <v>КАЗАХСТАН, АКМОЛИНСКАЯ, СТЕПНОГОРСК, 21, 96</v>
      </c>
      <c r="S200" t="str">
        <f>"ҚАЗАҚСТАН, АҚМОЛА, СТЕПНОГОР, 21, 96"</f>
        <v>ҚАЗАҚСТАН, АҚМОЛА, СТЕПНОГОР, 21, 96</v>
      </c>
      <c r="T200" t="str">
        <f>"21, 96"</f>
        <v>21, 96</v>
      </c>
      <c r="U200" t="str">
        <f>"21, 96"</f>
        <v>21, 96</v>
      </c>
      <c r="AC200" t="str">
        <f>"2021-05-31T00:00:00"</f>
        <v>2021-05-31T00:00:00</v>
      </c>
      <c r="AD200" t="str">
        <f>"89"</f>
        <v>89</v>
      </c>
      <c r="AG200" t="s">
        <v>202</v>
      </c>
      <c r="AI200" t="s">
        <v>299</v>
      </c>
      <c r="AJ200" t="s">
        <v>540</v>
      </c>
      <c r="AK200" t="s">
        <v>205</v>
      </c>
      <c r="AL200" t="s">
        <v>206</v>
      </c>
      <c r="AN200" t="s">
        <v>207</v>
      </c>
      <c r="AO200">
        <v>2</v>
      </c>
      <c r="AP200" t="s">
        <v>208</v>
      </c>
      <c r="AQ200" t="s">
        <v>209</v>
      </c>
      <c r="AR200" t="s">
        <v>502</v>
      </c>
      <c r="AW200" t="s">
        <v>212</v>
      </c>
      <c r="AZ200" t="s">
        <v>209</v>
      </c>
      <c r="BI200" t="s">
        <v>212</v>
      </c>
      <c r="BJ200" t="s">
        <v>213</v>
      </c>
      <c r="BK200" t="s">
        <v>214</v>
      </c>
      <c r="BL200" t="s">
        <v>357</v>
      </c>
      <c r="BN200" t="s">
        <v>247</v>
      </c>
      <c r="BO200" t="s">
        <v>209</v>
      </c>
      <c r="BP200" t="s">
        <v>241</v>
      </c>
      <c r="BQ200">
        <v>3</v>
      </c>
      <c r="BS200" t="s">
        <v>219</v>
      </c>
      <c r="BT200" t="s">
        <v>220</v>
      </c>
      <c r="BU200" t="s">
        <v>206</v>
      </c>
      <c r="BX200" t="s">
        <v>234</v>
      </c>
      <c r="BY200" t="s">
        <v>234</v>
      </c>
      <c r="BZ200" t="s">
        <v>541</v>
      </c>
      <c r="CA200" t="s">
        <v>287</v>
      </c>
      <c r="CC200" t="s">
        <v>222</v>
      </c>
      <c r="CD200" t="s">
        <v>223</v>
      </c>
      <c r="CE200" t="s">
        <v>242</v>
      </c>
      <c r="CJ200" t="s">
        <v>206</v>
      </c>
      <c r="CK200" t="s">
        <v>230</v>
      </c>
      <c r="CL200" t="s">
        <v>231</v>
      </c>
      <c r="CM200" t="s">
        <v>232</v>
      </c>
      <c r="CN200" t="s">
        <v>233</v>
      </c>
      <c r="CP200" t="s">
        <v>212</v>
      </c>
      <c r="CQ200" t="s">
        <v>212</v>
      </c>
      <c r="CR200" t="s">
        <v>212</v>
      </c>
      <c r="CS200" t="s">
        <v>212</v>
      </c>
      <c r="CY200" t="s">
        <v>212</v>
      </c>
      <c r="DB200" t="s">
        <v>234</v>
      </c>
      <c r="DE200" t="s">
        <v>212</v>
      </c>
      <c r="DF200" t="s">
        <v>212</v>
      </c>
      <c r="DG200" t="s">
        <v>235</v>
      </c>
      <c r="DH200" t="s">
        <v>212</v>
      </c>
      <c r="DJ200" t="s">
        <v>236</v>
      </c>
      <c r="DM200" t="s">
        <v>212</v>
      </c>
      <c r="GB200" t="s">
        <v>206</v>
      </c>
    </row>
    <row r="201" spans="1:184" x14ac:dyDescent="0.3">
      <c r="A201">
        <v>19275961</v>
      </c>
      <c r="B201">
        <v>922027</v>
      </c>
      <c r="C201" t="str">
        <f>"150314600670"</f>
        <v>150314600670</v>
      </c>
      <c r="D201" t="s">
        <v>861</v>
      </c>
      <c r="E201" t="s">
        <v>862</v>
      </c>
      <c r="F201" t="s">
        <v>863</v>
      </c>
      <c r="G201" s="1">
        <v>42077</v>
      </c>
      <c r="I201" t="s">
        <v>199</v>
      </c>
      <c r="J201" t="s">
        <v>200</v>
      </c>
      <c r="K201" t="s">
        <v>260</v>
      </c>
      <c r="Q201" t="s">
        <v>212</v>
      </c>
      <c r="R201" t="str">
        <f>"КАЗАХСТАН, АКМОЛИНСКАЯ, СТЕПНОГОРСК, 42, 19"</f>
        <v>КАЗАХСТАН, АКМОЛИНСКАЯ, СТЕПНОГОРСК, 42, 19</v>
      </c>
      <c r="S201" t="str">
        <f>"ҚАЗАҚСТАН, АҚМОЛА, СТЕПНОГОР, 42, 19"</f>
        <v>ҚАЗАҚСТАН, АҚМОЛА, СТЕПНОГОР, 42, 19</v>
      </c>
      <c r="T201" t="str">
        <f>"42, 19"</f>
        <v>42, 19</v>
      </c>
      <c r="U201" t="str">
        <f>"42, 19"</f>
        <v>42, 19</v>
      </c>
      <c r="AC201" t="str">
        <f>"2021-05-20T00:00:00"</f>
        <v>2021-05-20T00:00:00</v>
      </c>
      <c r="AD201" t="str">
        <f>"135"</f>
        <v>135</v>
      </c>
      <c r="AG201" t="s">
        <v>202</v>
      </c>
      <c r="AI201" t="s">
        <v>299</v>
      </c>
      <c r="AJ201" t="s">
        <v>540</v>
      </c>
      <c r="AK201" t="s">
        <v>205</v>
      </c>
      <c r="AL201" t="s">
        <v>206</v>
      </c>
      <c r="AN201" t="s">
        <v>207</v>
      </c>
      <c r="AO201">
        <v>2</v>
      </c>
      <c r="AP201" t="s">
        <v>208</v>
      </c>
      <c r="AQ201" t="s">
        <v>209</v>
      </c>
      <c r="AR201" t="s">
        <v>502</v>
      </c>
      <c r="AW201" t="s">
        <v>212</v>
      </c>
      <c r="AZ201" t="s">
        <v>209</v>
      </c>
      <c r="BI201" t="s">
        <v>212</v>
      </c>
      <c r="BJ201" t="s">
        <v>213</v>
      </c>
      <c r="BK201" t="s">
        <v>214</v>
      </c>
      <c r="BL201" t="s">
        <v>357</v>
      </c>
      <c r="BN201" t="s">
        <v>281</v>
      </c>
      <c r="BO201" t="s">
        <v>209</v>
      </c>
      <c r="BP201" t="s">
        <v>241</v>
      </c>
      <c r="BQ201">
        <v>5</v>
      </c>
      <c r="BS201" t="s">
        <v>219</v>
      </c>
      <c r="BT201" t="s">
        <v>220</v>
      </c>
      <c r="BU201" t="s">
        <v>206</v>
      </c>
      <c r="BZ201" t="s">
        <v>541</v>
      </c>
      <c r="CA201" t="s">
        <v>287</v>
      </c>
      <c r="CC201" t="s">
        <v>224</v>
      </c>
      <c r="CD201" t="s">
        <v>223</v>
      </c>
      <c r="CE201" t="s">
        <v>242</v>
      </c>
      <c r="CJ201" t="s">
        <v>206</v>
      </c>
      <c r="CK201" t="s">
        <v>230</v>
      </c>
      <c r="CL201" t="s">
        <v>231</v>
      </c>
      <c r="CM201" t="s">
        <v>232</v>
      </c>
      <c r="CN201" t="s">
        <v>233</v>
      </c>
      <c r="CP201" t="s">
        <v>212</v>
      </c>
      <c r="CQ201" t="s">
        <v>212</v>
      </c>
      <c r="CR201" t="s">
        <v>212</v>
      </c>
      <c r="CS201" t="s">
        <v>212</v>
      </c>
      <c r="CY201" t="s">
        <v>212</v>
      </c>
      <c r="DB201" t="s">
        <v>234</v>
      </c>
      <c r="DE201" t="s">
        <v>212</v>
      </c>
      <c r="DF201" t="s">
        <v>212</v>
      </c>
      <c r="DG201" t="s">
        <v>235</v>
      </c>
      <c r="DH201" t="s">
        <v>212</v>
      </c>
      <c r="DJ201" t="s">
        <v>236</v>
      </c>
      <c r="DM201" t="s">
        <v>212</v>
      </c>
      <c r="GB201" t="s">
        <v>206</v>
      </c>
    </row>
    <row r="202" spans="1:184" x14ac:dyDescent="0.3">
      <c r="A202">
        <v>22878481</v>
      </c>
      <c r="B202">
        <v>840955</v>
      </c>
      <c r="C202" t="str">
        <f>"160703502855"</f>
        <v>160703502855</v>
      </c>
      <c r="D202" t="s">
        <v>864</v>
      </c>
      <c r="E202" t="s">
        <v>860</v>
      </c>
      <c r="F202" t="s">
        <v>865</v>
      </c>
      <c r="G202" s="1">
        <v>42554</v>
      </c>
      <c r="I202" t="s">
        <v>240</v>
      </c>
      <c r="J202" t="s">
        <v>200</v>
      </c>
      <c r="K202" t="s">
        <v>260</v>
      </c>
      <c r="R202" t="str">
        <f>"КАЗАХСТАН, АКМОЛИНСКАЯ, СТЕПНОГОРСК, 19, 46"</f>
        <v>КАЗАХСТАН, АКМОЛИНСКАЯ, СТЕПНОГОРСК, 19, 46</v>
      </c>
      <c r="S202" t="str">
        <f>"ҚАЗАҚСТАН, АҚМОЛА, СТЕПНОГОР, 19, 46"</f>
        <v>ҚАЗАҚСТАН, АҚМОЛА, СТЕПНОГОР, 19, 46</v>
      </c>
      <c r="T202" t="str">
        <f>"19, 46"</f>
        <v>19, 46</v>
      </c>
      <c r="U202" t="str">
        <f>"19, 46"</f>
        <v>19, 46</v>
      </c>
      <c r="AC202" t="str">
        <f>"2022-08-25T00:00:00"</f>
        <v>2022-08-25T00:00:00</v>
      </c>
      <c r="AD202" t="str">
        <f>"120"</f>
        <v>120</v>
      </c>
      <c r="AE202" t="str">
        <f>"2023-09-01T23:07:59"</f>
        <v>2023-09-01T23:07:59</v>
      </c>
      <c r="AF202" t="str">
        <f>"2024-05-25T23:07:59"</f>
        <v>2024-05-25T23:07:59</v>
      </c>
      <c r="AG202" t="s">
        <v>202</v>
      </c>
      <c r="AI202" t="s">
        <v>299</v>
      </c>
      <c r="AJ202" t="s">
        <v>570</v>
      </c>
      <c r="AK202" t="s">
        <v>246</v>
      </c>
      <c r="AL202" t="s">
        <v>206</v>
      </c>
      <c r="AN202" t="s">
        <v>207</v>
      </c>
      <c r="AO202">
        <v>1</v>
      </c>
      <c r="AP202" t="s">
        <v>208</v>
      </c>
      <c r="AQ202" t="s">
        <v>209</v>
      </c>
      <c r="AR202" t="s">
        <v>210</v>
      </c>
      <c r="AW202" t="s">
        <v>206</v>
      </c>
      <c r="AX202" t="s">
        <v>211</v>
      </c>
      <c r="AZ202" t="s">
        <v>209</v>
      </c>
      <c r="BI202" t="s">
        <v>212</v>
      </c>
      <c r="BJ202" t="s">
        <v>213</v>
      </c>
      <c r="BK202" t="s">
        <v>214</v>
      </c>
      <c r="BL202" t="s">
        <v>357</v>
      </c>
      <c r="BN202" t="s">
        <v>281</v>
      </c>
      <c r="BO202" t="s">
        <v>209</v>
      </c>
      <c r="BP202" t="s">
        <v>241</v>
      </c>
      <c r="BQ202">
        <v>5</v>
      </c>
      <c r="BS202" t="s">
        <v>220</v>
      </c>
      <c r="BU202" t="s">
        <v>212</v>
      </c>
      <c r="BZ202" t="s">
        <v>571</v>
      </c>
      <c r="CA202" t="s">
        <v>287</v>
      </c>
      <c r="CC202" t="s">
        <v>222</v>
      </c>
      <c r="CD202" t="s">
        <v>223</v>
      </c>
      <c r="CE202" t="s">
        <v>242</v>
      </c>
      <c r="CJ202" t="s">
        <v>206</v>
      </c>
      <c r="CK202" t="s">
        <v>230</v>
      </c>
      <c r="CL202" t="s">
        <v>231</v>
      </c>
      <c r="CM202" t="s">
        <v>232</v>
      </c>
      <c r="CN202" t="s">
        <v>233</v>
      </c>
      <c r="CP202" t="s">
        <v>212</v>
      </c>
      <c r="CQ202" t="s">
        <v>212</v>
      </c>
      <c r="CR202" t="s">
        <v>212</v>
      </c>
      <c r="CS202" t="s">
        <v>212</v>
      </c>
      <c r="CY202" t="s">
        <v>212</v>
      </c>
      <c r="DB202" t="s">
        <v>234</v>
      </c>
      <c r="DE202" t="s">
        <v>212</v>
      </c>
      <c r="DF202" t="s">
        <v>212</v>
      </c>
      <c r="DG202" t="s">
        <v>235</v>
      </c>
      <c r="DH202" t="s">
        <v>212</v>
      </c>
      <c r="DJ202" t="s">
        <v>236</v>
      </c>
      <c r="DM202" t="s">
        <v>212</v>
      </c>
    </row>
    <row r="203" spans="1:184" x14ac:dyDescent="0.3">
      <c r="A203">
        <v>19220722</v>
      </c>
      <c r="B203">
        <v>8744417</v>
      </c>
      <c r="C203" t="str">
        <f>"141001601886"</f>
        <v>141001601886</v>
      </c>
      <c r="D203" t="s">
        <v>866</v>
      </c>
      <c r="E203" t="s">
        <v>867</v>
      </c>
      <c r="F203" t="s">
        <v>368</v>
      </c>
      <c r="G203" s="1">
        <v>41913</v>
      </c>
      <c r="I203" t="s">
        <v>199</v>
      </c>
      <c r="J203" t="s">
        <v>200</v>
      </c>
      <c r="K203" t="s">
        <v>201</v>
      </c>
      <c r="R203" t="str">
        <f>"КАЗАХСТАН, АКМОЛИНСКАЯ, СТЕПНОГОРСК, 6"</f>
        <v>КАЗАХСТАН, АКМОЛИНСКАЯ, СТЕПНОГОРСК, 6</v>
      </c>
      <c r="S203" t="str">
        <f>"ҚАЗАҚСТАН, АҚМОЛА, СТЕПНОГОР, 6"</f>
        <v>ҚАЗАҚСТАН, АҚМОЛА, СТЕПНОГОР, 6</v>
      </c>
      <c r="T203" t="str">
        <f>"6"</f>
        <v>6</v>
      </c>
      <c r="U203" t="str">
        <f>"6"</f>
        <v>6</v>
      </c>
      <c r="AC203" t="str">
        <f>"2021-04-26T00:00:00"</f>
        <v>2021-04-26T00:00:00</v>
      </c>
      <c r="AD203" t="str">
        <f>"135"</f>
        <v>135</v>
      </c>
      <c r="AE203" t="str">
        <f>"2023-09-01T16:32:42"</f>
        <v>2023-09-01T16:32:42</v>
      </c>
      <c r="AF203" t="str">
        <f>"2024-05-25T16:32:42"</f>
        <v>2024-05-25T16:32:42</v>
      </c>
      <c r="AG203" t="s">
        <v>202</v>
      </c>
      <c r="AI203" t="s">
        <v>299</v>
      </c>
      <c r="AJ203" t="s">
        <v>540</v>
      </c>
      <c r="AK203" t="s">
        <v>261</v>
      </c>
      <c r="AL203" t="s">
        <v>206</v>
      </c>
      <c r="AN203" t="s">
        <v>207</v>
      </c>
      <c r="AO203">
        <v>2</v>
      </c>
      <c r="AP203" t="s">
        <v>208</v>
      </c>
      <c r="AQ203" t="s">
        <v>209</v>
      </c>
      <c r="AR203" t="s">
        <v>502</v>
      </c>
      <c r="AW203" t="s">
        <v>212</v>
      </c>
      <c r="AZ203" t="s">
        <v>209</v>
      </c>
      <c r="BI203" t="s">
        <v>212</v>
      </c>
      <c r="BJ203" t="s">
        <v>213</v>
      </c>
      <c r="BK203" t="s">
        <v>214</v>
      </c>
      <c r="BL203" t="s">
        <v>357</v>
      </c>
      <c r="BN203" t="s">
        <v>216</v>
      </c>
      <c r="BO203" t="s">
        <v>209</v>
      </c>
      <c r="BP203" t="s">
        <v>241</v>
      </c>
      <c r="BQ203">
        <v>4</v>
      </c>
      <c r="BS203" t="s">
        <v>219</v>
      </c>
      <c r="BT203" t="s">
        <v>220</v>
      </c>
      <c r="BU203" t="s">
        <v>206</v>
      </c>
      <c r="BZ203" t="s">
        <v>541</v>
      </c>
      <c r="CA203" t="s">
        <v>287</v>
      </c>
      <c r="CC203" t="s">
        <v>222</v>
      </c>
      <c r="CD203" t="s">
        <v>223</v>
      </c>
      <c r="CE203" t="s">
        <v>242</v>
      </c>
      <c r="CJ203" t="s">
        <v>206</v>
      </c>
      <c r="CK203" t="s">
        <v>230</v>
      </c>
      <c r="CL203" t="s">
        <v>231</v>
      </c>
      <c r="CM203" t="s">
        <v>232</v>
      </c>
      <c r="CN203" t="s">
        <v>233</v>
      </c>
      <c r="CP203" t="s">
        <v>212</v>
      </c>
      <c r="CQ203" t="s">
        <v>212</v>
      </c>
      <c r="CR203" t="s">
        <v>212</v>
      </c>
      <c r="CS203" t="s">
        <v>212</v>
      </c>
      <c r="CY203" t="s">
        <v>212</v>
      </c>
      <c r="DB203" t="s">
        <v>234</v>
      </c>
      <c r="DE203" t="s">
        <v>212</v>
      </c>
      <c r="DF203" t="s">
        <v>212</v>
      </c>
      <c r="DG203" t="s">
        <v>235</v>
      </c>
      <c r="DH203" t="s">
        <v>206</v>
      </c>
      <c r="DI203" t="s">
        <v>663</v>
      </c>
      <c r="DJ203" t="s">
        <v>664</v>
      </c>
      <c r="DK203" t="s">
        <v>422</v>
      </c>
      <c r="DL203" t="s">
        <v>423</v>
      </c>
      <c r="DM203" t="s">
        <v>206</v>
      </c>
      <c r="GB203" t="s">
        <v>206</v>
      </c>
    </row>
    <row r="204" spans="1:184" x14ac:dyDescent="0.3">
      <c r="A204">
        <v>22878604</v>
      </c>
      <c r="B204">
        <v>8739854</v>
      </c>
      <c r="C204" t="str">
        <f>"160908501148"</f>
        <v>160908501148</v>
      </c>
      <c r="D204" t="s">
        <v>868</v>
      </c>
      <c r="E204" t="s">
        <v>869</v>
      </c>
      <c r="F204" t="s">
        <v>870</v>
      </c>
      <c r="G204" s="1">
        <v>42621</v>
      </c>
      <c r="I204" t="s">
        <v>240</v>
      </c>
      <c r="J204" t="s">
        <v>200</v>
      </c>
      <c r="K204" t="s">
        <v>201</v>
      </c>
      <c r="Q204" t="s">
        <v>212</v>
      </c>
      <c r="R204" t="str">
        <f>"КАЗАХСТАН, АКМОЛИНСКАЯ, СТЕПНОГОРСК, 33, 54"</f>
        <v>КАЗАХСТАН, АКМОЛИНСКАЯ, СТЕПНОГОРСК, 33, 54</v>
      </c>
      <c r="S204" t="str">
        <f>"ҚАЗАҚСТАН, АҚМОЛА, СТЕПНОГОР, 33, 54"</f>
        <v>ҚАЗАҚСТАН, АҚМОЛА, СТЕПНОГОР, 33, 54</v>
      </c>
      <c r="T204" t="str">
        <f>"33, 54"</f>
        <v>33, 54</v>
      </c>
      <c r="U204" t="str">
        <f>"33, 54"</f>
        <v>33, 54</v>
      </c>
      <c r="AC204" t="str">
        <f>"2023-08-25T00:00:00"</f>
        <v>2023-08-25T00:00:00</v>
      </c>
      <c r="AD204" t="str">
        <f>"201"</f>
        <v>201</v>
      </c>
      <c r="AE204" t="str">
        <f>"2023-09-01T17:18:26"</f>
        <v>2023-09-01T17:18:26</v>
      </c>
      <c r="AF204" t="str">
        <f>"2024-05-25T17:18:26"</f>
        <v>2024-05-25T17:18:26</v>
      </c>
      <c r="AG204" t="s">
        <v>202</v>
      </c>
      <c r="AI204" t="s">
        <v>269</v>
      </c>
      <c r="AJ204" t="s">
        <v>660</v>
      </c>
      <c r="AK204" t="s">
        <v>253</v>
      </c>
      <c r="AL204" t="s">
        <v>206</v>
      </c>
      <c r="AN204" t="s">
        <v>254</v>
      </c>
      <c r="AO204">
        <v>1</v>
      </c>
      <c r="AP204" t="s">
        <v>208</v>
      </c>
      <c r="AQ204" t="s">
        <v>209</v>
      </c>
      <c r="AR204" t="s">
        <v>502</v>
      </c>
      <c r="AW204" t="s">
        <v>212</v>
      </c>
      <c r="AZ204" t="s">
        <v>209</v>
      </c>
      <c r="BI204" t="s">
        <v>212</v>
      </c>
      <c r="BJ204" t="s">
        <v>213</v>
      </c>
      <c r="BK204" t="s">
        <v>214</v>
      </c>
      <c r="BL204" t="s">
        <v>357</v>
      </c>
      <c r="BN204" t="s">
        <v>661</v>
      </c>
      <c r="BO204" t="s">
        <v>209</v>
      </c>
      <c r="BS204" t="s">
        <v>220</v>
      </c>
      <c r="BU204" t="s">
        <v>212</v>
      </c>
      <c r="BZ204" t="s">
        <v>662</v>
      </c>
      <c r="CA204" t="s">
        <v>287</v>
      </c>
      <c r="CC204" t="s">
        <v>871</v>
      </c>
      <c r="CD204" t="s">
        <v>349</v>
      </c>
      <c r="CE204" t="s">
        <v>242</v>
      </c>
      <c r="CJ204" t="s">
        <v>206</v>
      </c>
      <c r="CK204" t="s">
        <v>264</v>
      </c>
      <c r="CL204" t="s">
        <v>231</v>
      </c>
      <c r="CM204" t="s">
        <v>232</v>
      </c>
      <c r="CN204" t="s">
        <v>233</v>
      </c>
      <c r="CP204" t="s">
        <v>212</v>
      </c>
      <c r="CQ204" t="s">
        <v>212</v>
      </c>
      <c r="CR204" t="s">
        <v>212</v>
      </c>
      <c r="CS204" t="s">
        <v>212</v>
      </c>
      <c r="CY204" t="s">
        <v>212</v>
      </c>
      <c r="DB204" t="s">
        <v>714</v>
      </c>
      <c r="DC204" t="str">
        <f>"№1914 Задержка психического  развития. Общее недоразвитие речи 2-3 уровня."</f>
        <v>№1914 Задержка психического  развития. Общее недоразвитие речи 2-3 уровня.</v>
      </c>
      <c r="DD204" t="str">
        <f>"2023-12-26T00:00:00"</f>
        <v>2023-12-26T00:00:00</v>
      </c>
      <c r="DE204" t="s">
        <v>212</v>
      </c>
      <c r="DF204" t="s">
        <v>206</v>
      </c>
      <c r="DG204" t="s">
        <v>235</v>
      </c>
      <c r="DH204" t="s">
        <v>212</v>
      </c>
      <c r="DJ204" t="s">
        <v>236</v>
      </c>
      <c r="DM204" t="s">
        <v>212</v>
      </c>
      <c r="GB204" t="s">
        <v>206</v>
      </c>
    </row>
    <row r="205" spans="1:184" x14ac:dyDescent="0.3">
      <c r="A205">
        <v>22878626</v>
      </c>
      <c r="B205">
        <v>11485093</v>
      </c>
      <c r="C205" t="str">
        <f>"160524601464"</f>
        <v>160524601464</v>
      </c>
      <c r="D205" t="s">
        <v>872</v>
      </c>
      <c r="E205" t="s">
        <v>873</v>
      </c>
      <c r="F205" t="s">
        <v>460</v>
      </c>
      <c r="G205" s="1">
        <v>42514</v>
      </c>
      <c r="I205" t="s">
        <v>199</v>
      </c>
      <c r="J205" t="s">
        <v>200</v>
      </c>
      <c r="K205" t="s">
        <v>201</v>
      </c>
      <c r="R205" t="str">
        <f>"КАЗАХСТАН, АКМОЛИНСКАЯ, СТЕПНОГОРСК, 36, 39"</f>
        <v>КАЗАХСТАН, АКМОЛИНСКАЯ, СТЕПНОГОРСК, 36, 39</v>
      </c>
      <c r="S205" t="str">
        <f>"ҚАЗАҚСТАН, АҚМОЛА, СТЕПНОГОР, 36, 39"</f>
        <v>ҚАЗАҚСТАН, АҚМОЛА, СТЕПНОГОР, 36, 39</v>
      </c>
      <c r="T205" t="str">
        <f>"36, 39"</f>
        <v>36, 39</v>
      </c>
      <c r="U205" t="str">
        <f>"36, 39"</f>
        <v>36, 39</v>
      </c>
      <c r="AC205" t="str">
        <f>"2022-08-25T00:00:00"</f>
        <v>2022-08-25T00:00:00</v>
      </c>
      <c r="AD205" t="str">
        <f>"201"</f>
        <v>201</v>
      </c>
      <c r="AE205" t="str">
        <f>"2023-09-01T17:42:50"</f>
        <v>2023-09-01T17:42:50</v>
      </c>
      <c r="AF205" t="str">
        <f>"2024-05-25T17:42:50"</f>
        <v>2024-05-25T17:42:50</v>
      </c>
      <c r="AG205" t="s">
        <v>202</v>
      </c>
      <c r="AI205" t="s">
        <v>269</v>
      </c>
      <c r="AJ205" t="s">
        <v>660</v>
      </c>
      <c r="AK205" t="s">
        <v>246</v>
      </c>
      <c r="AL205" t="s">
        <v>206</v>
      </c>
      <c r="AN205" t="s">
        <v>207</v>
      </c>
      <c r="AO205">
        <v>1</v>
      </c>
      <c r="AP205" t="s">
        <v>208</v>
      </c>
      <c r="AQ205" t="s">
        <v>209</v>
      </c>
      <c r="AR205" t="s">
        <v>502</v>
      </c>
      <c r="AW205" t="s">
        <v>212</v>
      </c>
      <c r="AZ205" t="s">
        <v>209</v>
      </c>
      <c r="BI205" t="s">
        <v>212</v>
      </c>
      <c r="BJ205" t="s">
        <v>213</v>
      </c>
      <c r="BK205" t="s">
        <v>214</v>
      </c>
      <c r="BL205" t="s">
        <v>357</v>
      </c>
      <c r="BN205" t="s">
        <v>661</v>
      </c>
      <c r="BO205" t="s">
        <v>209</v>
      </c>
      <c r="BS205" t="s">
        <v>220</v>
      </c>
      <c r="BU205" t="s">
        <v>212</v>
      </c>
      <c r="BZ205" t="s">
        <v>662</v>
      </c>
      <c r="CA205" t="s">
        <v>287</v>
      </c>
      <c r="CC205" t="s">
        <v>874</v>
      </c>
      <c r="CD205" t="s">
        <v>349</v>
      </c>
      <c r="CE205" t="s">
        <v>242</v>
      </c>
      <c r="CJ205" t="s">
        <v>206</v>
      </c>
      <c r="CK205" t="s">
        <v>230</v>
      </c>
      <c r="CL205" t="s">
        <v>231</v>
      </c>
      <c r="CM205" t="s">
        <v>232</v>
      </c>
      <c r="CN205" t="s">
        <v>233</v>
      </c>
      <c r="CP205" t="s">
        <v>212</v>
      </c>
      <c r="CQ205" t="s">
        <v>212</v>
      </c>
      <c r="CR205" t="s">
        <v>212</v>
      </c>
      <c r="CS205" t="s">
        <v>212</v>
      </c>
      <c r="CY205" t="s">
        <v>212</v>
      </c>
      <c r="DB205" t="s">
        <v>234</v>
      </c>
      <c r="DE205" t="s">
        <v>212</v>
      </c>
      <c r="DF205" t="s">
        <v>212</v>
      </c>
      <c r="DG205" t="s">
        <v>235</v>
      </c>
      <c r="DH205" t="s">
        <v>212</v>
      </c>
      <c r="DJ205" t="s">
        <v>236</v>
      </c>
      <c r="DM205" t="s">
        <v>206</v>
      </c>
    </row>
    <row r="206" spans="1:184" x14ac:dyDescent="0.3">
      <c r="A206">
        <v>19209627</v>
      </c>
      <c r="B206">
        <v>862047</v>
      </c>
      <c r="C206" t="str">
        <f>"141030601795"</f>
        <v>141030601795</v>
      </c>
      <c r="D206" t="s">
        <v>875</v>
      </c>
      <c r="E206" t="s">
        <v>876</v>
      </c>
      <c r="F206" t="s">
        <v>877</v>
      </c>
      <c r="G206" s="1">
        <v>41942</v>
      </c>
      <c r="I206" t="s">
        <v>199</v>
      </c>
      <c r="J206" t="s">
        <v>200</v>
      </c>
      <c r="K206" t="s">
        <v>201</v>
      </c>
      <c r="Q206" t="s">
        <v>212</v>
      </c>
      <c r="R206" t="str">
        <f>"КАЗАХСТАН, АКМОЛИНСКАЯ, СТЕПНОГОРСК, 12, 3"</f>
        <v>КАЗАХСТАН, АКМОЛИНСКАЯ, СТЕПНОГОРСК, 12, 3</v>
      </c>
      <c r="S206" t="str">
        <f>"ҚАЗАҚСТАН, АҚМОЛА, СТЕПНОГОР, 12, 3"</f>
        <v>ҚАЗАҚСТАН, АҚМОЛА, СТЕПНОГОР, 12, 3</v>
      </c>
      <c r="T206" t="str">
        <f>"12, 3"</f>
        <v>12, 3</v>
      </c>
      <c r="U206" t="str">
        <f>"12, 3"</f>
        <v>12, 3</v>
      </c>
      <c r="AC206" t="str">
        <f>"2021-09-02T00:00:00"</f>
        <v>2021-09-02T00:00:00</v>
      </c>
      <c r="AD206" t="str">
        <f>"136"</f>
        <v>136</v>
      </c>
      <c r="AG206" t="s">
        <v>202</v>
      </c>
      <c r="AI206" t="s">
        <v>269</v>
      </c>
      <c r="AJ206" t="s">
        <v>540</v>
      </c>
      <c r="AK206" t="s">
        <v>253</v>
      </c>
      <c r="AL206" t="s">
        <v>206</v>
      </c>
      <c r="AN206" t="s">
        <v>254</v>
      </c>
      <c r="AO206">
        <v>2</v>
      </c>
      <c r="AP206" t="s">
        <v>208</v>
      </c>
      <c r="AQ206" t="s">
        <v>209</v>
      </c>
      <c r="AR206" t="s">
        <v>502</v>
      </c>
      <c r="AW206" t="s">
        <v>212</v>
      </c>
      <c r="AZ206" t="s">
        <v>209</v>
      </c>
      <c r="BI206" t="s">
        <v>212</v>
      </c>
      <c r="BJ206" t="s">
        <v>213</v>
      </c>
      <c r="BK206" t="s">
        <v>214</v>
      </c>
      <c r="BL206" t="s">
        <v>357</v>
      </c>
      <c r="BN206" t="s">
        <v>281</v>
      </c>
      <c r="BO206" t="s">
        <v>209</v>
      </c>
      <c r="BP206" t="s">
        <v>241</v>
      </c>
      <c r="BQ206">
        <v>5</v>
      </c>
      <c r="BS206" t="s">
        <v>219</v>
      </c>
      <c r="BT206" t="s">
        <v>220</v>
      </c>
      <c r="BU206" t="s">
        <v>206</v>
      </c>
      <c r="BZ206" t="s">
        <v>541</v>
      </c>
      <c r="CA206" t="s">
        <v>287</v>
      </c>
      <c r="CC206" t="s">
        <v>222</v>
      </c>
      <c r="CD206" t="s">
        <v>223</v>
      </c>
      <c r="CE206" t="s">
        <v>242</v>
      </c>
      <c r="CJ206" t="s">
        <v>206</v>
      </c>
      <c r="CK206" t="s">
        <v>230</v>
      </c>
      <c r="CL206" t="s">
        <v>231</v>
      </c>
      <c r="CM206" t="s">
        <v>232</v>
      </c>
      <c r="CN206" t="s">
        <v>233</v>
      </c>
      <c r="CP206" t="s">
        <v>212</v>
      </c>
      <c r="CQ206" t="s">
        <v>212</v>
      </c>
      <c r="CR206" t="s">
        <v>212</v>
      </c>
      <c r="CS206" t="s">
        <v>212</v>
      </c>
      <c r="CY206" t="s">
        <v>212</v>
      </c>
      <c r="DB206" t="s">
        <v>234</v>
      </c>
      <c r="DE206" t="s">
        <v>212</v>
      </c>
      <c r="DF206" t="s">
        <v>212</v>
      </c>
      <c r="DG206" t="s">
        <v>235</v>
      </c>
      <c r="DH206" t="s">
        <v>212</v>
      </c>
      <c r="DJ206" t="s">
        <v>236</v>
      </c>
      <c r="DM206" t="s">
        <v>212</v>
      </c>
      <c r="GB206" t="s">
        <v>206</v>
      </c>
    </row>
    <row r="207" spans="1:184" x14ac:dyDescent="0.3">
      <c r="A207">
        <v>22878679</v>
      </c>
      <c r="B207">
        <v>8984091</v>
      </c>
      <c r="C207" t="str">
        <f>"170107600534"</f>
        <v>170107600534</v>
      </c>
      <c r="D207" t="s">
        <v>878</v>
      </c>
      <c r="E207" t="s">
        <v>304</v>
      </c>
      <c r="F207" t="s">
        <v>267</v>
      </c>
      <c r="G207" s="1">
        <v>42742</v>
      </c>
      <c r="I207" t="s">
        <v>199</v>
      </c>
      <c r="J207" t="s">
        <v>200</v>
      </c>
      <c r="K207" t="s">
        <v>268</v>
      </c>
      <c r="R207" t="str">
        <f>"КАЗАХСТАН, АКМОЛИНСКАЯ, СТЕПНОГОРСК, КЕНТI Аксу, 14, 1"</f>
        <v>КАЗАХСТАН, АКМОЛИНСКАЯ, СТЕПНОГОРСК, КЕНТI Аксу, 14, 1</v>
      </c>
      <c r="S207" t="str">
        <f>"ҚАЗАҚСТАН, АҚМОЛА, СТЕПНОГОР, КЕНТI Аксу, 14, 1"</f>
        <v>ҚАЗАҚСТАН, АҚМОЛА, СТЕПНОГОР, КЕНТI Аксу, 14, 1</v>
      </c>
      <c r="T207" t="str">
        <f>"КЕНТI Аксу, 14, 1"</f>
        <v>КЕНТI Аксу, 14, 1</v>
      </c>
      <c r="U207" t="str">
        <f>"КЕНТI Аксу, 14, 1"</f>
        <v>КЕНТI Аксу, 14, 1</v>
      </c>
      <c r="AC207" t="str">
        <f>"2022-08-25T00:00:00"</f>
        <v>2022-08-25T00:00:00</v>
      </c>
      <c r="AD207" t="str">
        <f>"201"</f>
        <v>201</v>
      </c>
      <c r="AG207" t="s">
        <v>202</v>
      </c>
      <c r="AI207" t="s">
        <v>269</v>
      </c>
      <c r="AJ207" t="s">
        <v>660</v>
      </c>
      <c r="AK207" t="s">
        <v>246</v>
      </c>
      <c r="AL207" t="s">
        <v>206</v>
      </c>
      <c r="AN207" t="s">
        <v>207</v>
      </c>
      <c r="AO207">
        <v>1</v>
      </c>
      <c r="AP207" t="s">
        <v>208</v>
      </c>
      <c r="AQ207" t="s">
        <v>209</v>
      </c>
      <c r="AR207" t="s">
        <v>502</v>
      </c>
      <c r="AW207" t="s">
        <v>212</v>
      </c>
      <c r="AZ207" t="s">
        <v>209</v>
      </c>
      <c r="BI207" t="s">
        <v>212</v>
      </c>
      <c r="BJ207" t="s">
        <v>213</v>
      </c>
      <c r="BK207" t="s">
        <v>214</v>
      </c>
      <c r="BL207" t="s">
        <v>357</v>
      </c>
      <c r="BN207" t="s">
        <v>661</v>
      </c>
      <c r="BO207" t="s">
        <v>209</v>
      </c>
      <c r="BS207" t="s">
        <v>220</v>
      </c>
      <c r="BU207" t="s">
        <v>212</v>
      </c>
      <c r="BX207" t="s">
        <v>234</v>
      </c>
      <c r="BY207" t="s">
        <v>234</v>
      </c>
      <c r="BZ207" t="s">
        <v>662</v>
      </c>
      <c r="CA207" t="s">
        <v>287</v>
      </c>
      <c r="CC207" t="s">
        <v>209</v>
      </c>
      <c r="CE207" t="s">
        <v>242</v>
      </c>
      <c r="CJ207" t="s">
        <v>206</v>
      </c>
      <c r="CK207" t="s">
        <v>230</v>
      </c>
      <c r="CL207" t="s">
        <v>231</v>
      </c>
      <c r="CM207" t="s">
        <v>232</v>
      </c>
      <c r="CN207" t="s">
        <v>233</v>
      </c>
      <c r="CP207" t="s">
        <v>212</v>
      </c>
      <c r="CQ207" t="s">
        <v>212</v>
      </c>
      <c r="CR207" t="s">
        <v>212</v>
      </c>
      <c r="CS207" t="s">
        <v>212</v>
      </c>
      <c r="CY207" t="s">
        <v>212</v>
      </c>
      <c r="DB207" t="s">
        <v>234</v>
      </c>
      <c r="DE207" t="s">
        <v>212</v>
      </c>
      <c r="DF207" t="s">
        <v>212</v>
      </c>
      <c r="DG207" t="s">
        <v>235</v>
      </c>
      <c r="DH207" t="s">
        <v>212</v>
      </c>
      <c r="DJ207" t="s">
        <v>236</v>
      </c>
      <c r="DM207" t="s">
        <v>212</v>
      </c>
      <c r="GB207" t="s">
        <v>206</v>
      </c>
    </row>
    <row r="208" spans="1:184" x14ac:dyDescent="0.3">
      <c r="A208">
        <v>22878692</v>
      </c>
      <c r="B208">
        <v>863325</v>
      </c>
      <c r="C208" t="str">
        <f>"160906504161"</f>
        <v>160906504161</v>
      </c>
      <c r="D208" t="s">
        <v>879</v>
      </c>
      <c r="E208" t="s">
        <v>880</v>
      </c>
      <c r="F208" t="s">
        <v>881</v>
      </c>
      <c r="G208" s="1">
        <v>42619</v>
      </c>
      <c r="I208" t="s">
        <v>240</v>
      </c>
      <c r="J208" t="s">
        <v>200</v>
      </c>
      <c r="K208" t="s">
        <v>369</v>
      </c>
      <c r="R208" t="str">
        <f>"КАЗАХСТАН, АКМОЛИНСКАЯ, СТЕПНОГОРСК, КЕНТI Аксу, 3, 1"</f>
        <v>КАЗАХСТАН, АКМОЛИНСКАЯ, СТЕПНОГОРСК, КЕНТI Аксу, 3, 1</v>
      </c>
      <c r="S208" t="str">
        <f>"ҚАЗАҚСТАН, АҚМОЛА, СТЕПНОГОР, КЕНТI Аксу, 3, 1"</f>
        <v>ҚАЗАҚСТАН, АҚМОЛА, СТЕПНОГОР, КЕНТI Аксу, 3, 1</v>
      </c>
      <c r="T208" t="str">
        <f>"КЕНТI Аксу, 3, 1"</f>
        <v>КЕНТI Аксу, 3, 1</v>
      </c>
      <c r="U208" t="str">
        <f>"КЕНТI Аксу, 3, 1"</f>
        <v>КЕНТI Аксу, 3, 1</v>
      </c>
      <c r="AC208" t="str">
        <f>"2022-08-25T00:00:00"</f>
        <v>2022-08-25T00:00:00</v>
      </c>
      <c r="AD208" t="str">
        <f>"120"</f>
        <v>120</v>
      </c>
      <c r="AG208" t="s">
        <v>202</v>
      </c>
      <c r="AI208" t="s">
        <v>269</v>
      </c>
      <c r="AJ208" t="s">
        <v>660</v>
      </c>
      <c r="AK208" t="s">
        <v>261</v>
      </c>
      <c r="AL208" t="s">
        <v>206</v>
      </c>
      <c r="AN208" t="s">
        <v>207</v>
      </c>
      <c r="AO208">
        <v>1</v>
      </c>
      <c r="AP208" t="s">
        <v>208</v>
      </c>
      <c r="AQ208" t="s">
        <v>209</v>
      </c>
      <c r="AR208" t="s">
        <v>502</v>
      </c>
      <c r="AW208" t="s">
        <v>212</v>
      </c>
      <c r="AZ208" t="s">
        <v>209</v>
      </c>
      <c r="BI208" t="s">
        <v>212</v>
      </c>
      <c r="BJ208" t="s">
        <v>213</v>
      </c>
      <c r="BK208" t="s">
        <v>214</v>
      </c>
      <c r="BL208" t="s">
        <v>357</v>
      </c>
      <c r="BN208" t="s">
        <v>661</v>
      </c>
      <c r="BO208" t="s">
        <v>209</v>
      </c>
      <c r="BS208" t="s">
        <v>220</v>
      </c>
      <c r="BU208" t="s">
        <v>212</v>
      </c>
      <c r="BX208" t="s">
        <v>234</v>
      </c>
      <c r="BY208" t="s">
        <v>234</v>
      </c>
      <c r="BZ208" t="s">
        <v>662</v>
      </c>
      <c r="CA208" t="s">
        <v>287</v>
      </c>
      <c r="CC208" t="s">
        <v>209</v>
      </c>
      <c r="CE208" t="s">
        <v>242</v>
      </c>
      <c r="CJ208" t="s">
        <v>206</v>
      </c>
      <c r="CK208" t="s">
        <v>230</v>
      </c>
      <c r="CL208" t="s">
        <v>231</v>
      </c>
      <c r="CM208" t="s">
        <v>232</v>
      </c>
      <c r="CN208" t="s">
        <v>233</v>
      </c>
      <c r="CP208" t="s">
        <v>212</v>
      </c>
      <c r="CQ208" t="s">
        <v>212</v>
      </c>
      <c r="CR208" t="s">
        <v>212</v>
      </c>
      <c r="CS208" t="s">
        <v>212</v>
      </c>
      <c r="CY208" t="s">
        <v>212</v>
      </c>
      <c r="DB208" t="s">
        <v>234</v>
      </c>
      <c r="DE208" t="s">
        <v>212</v>
      </c>
      <c r="DF208" t="s">
        <v>212</v>
      </c>
      <c r="DG208" t="s">
        <v>235</v>
      </c>
      <c r="DH208" t="s">
        <v>212</v>
      </c>
      <c r="DJ208" t="s">
        <v>236</v>
      </c>
      <c r="DM208" t="s">
        <v>212</v>
      </c>
      <c r="GB208" t="s">
        <v>206</v>
      </c>
    </row>
    <row r="209" spans="1:184" x14ac:dyDescent="0.3">
      <c r="A209">
        <v>19209624</v>
      </c>
      <c r="B209">
        <v>786117</v>
      </c>
      <c r="C209" t="str">
        <f>"150819600130"</f>
        <v>150819600130</v>
      </c>
      <c r="D209" t="s">
        <v>882</v>
      </c>
      <c r="E209" t="s">
        <v>883</v>
      </c>
      <c r="F209" t="s">
        <v>884</v>
      </c>
      <c r="G209" s="1">
        <v>42235</v>
      </c>
      <c r="I209" t="s">
        <v>199</v>
      </c>
      <c r="J209" t="s">
        <v>200</v>
      </c>
      <c r="K209" t="s">
        <v>201</v>
      </c>
      <c r="R209" t="str">
        <f>"КАЗАХСТАН, АКМОЛИНСКАЯ, СТЕПНОГОРСК, 23, 88"</f>
        <v>КАЗАХСТАН, АКМОЛИНСКАЯ, СТЕПНОГОРСК, 23, 88</v>
      </c>
      <c r="S209" t="str">
        <f>"ҚАЗАҚСТАН, АҚМОЛА, СТЕПНОГОР, 23, 88"</f>
        <v>ҚАЗАҚСТАН, АҚМОЛА, СТЕПНОГОР, 23, 88</v>
      </c>
      <c r="T209" t="str">
        <f>"23, 88"</f>
        <v>23, 88</v>
      </c>
      <c r="U209" t="str">
        <f>"23, 88"</f>
        <v>23, 88</v>
      </c>
      <c r="AC209" t="str">
        <f>"2021-09-02T00:00:00"</f>
        <v>2021-09-02T00:00:00</v>
      </c>
      <c r="AD209" t="str">
        <f>"136"</f>
        <v>136</v>
      </c>
      <c r="AG209" t="s">
        <v>202</v>
      </c>
      <c r="AI209" t="s">
        <v>269</v>
      </c>
      <c r="AJ209" t="s">
        <v>540</v>
      </c>
      <c r="AK209" t="s">
        <v>253</v>
      </c>
      <c r="AL209" t="s">
        <v>206</v>
      </c>
      <c r="AN209" t="s">
        <v>254</v>
      </c>
      <c r="AO209">
        <v>2</v>
      </c>
      <c r="AP209" t="s">
        <v>208</v>
      </c>
      <c r="AQ209" t="s">
        <v>209</v>
      </c>
      <c r="AR209" t="s">
        <v>502</v>
      </c>
      <c r="AW209" t="s">
        <v>212</v>
      </c>
      <c r="AZ209" t="s">
        <v>209</v>
      </c>
      <c r="BI209" t="s">
        <v>212</v>
      </c>
      <c r="BJ209" t="s">
        <v>213</v>
      </c>
      <c r="BK209" t="s">
        <v>214</v>
      </c>
      <c r="BL209" t="s">
        <v>357</v>
      </c>
      <c r="BN209" t="s">
        <v>216</v>
      </c>
      <c r="BO209" t="s">
        <v>209</v>
      </c>
      <c r="BP209" t="s">
        <v>241</v>
      </c>
      <c r="BQ209">
        <v>4</v>
      </c>
      <c r="BS209" t="s">
        <v>219</v>
      </c>
      <c r="BT209" t="s">
        <v>220</v>
      </c>
      <c r="BU209" t="s">
        <v>206</v>
      </c>
      <c r="BZ209" t="s">
        <v>541</v>
      </c>
      <c r="CA209" t="s">
        <v>287</v>
      </c>
      <c r="CC209" t="s">
        <v>222</v>
      </c>
      <c r="CD209" t="s">
        <v>223</v>
      </c>
      <c r="CE209" t="s">
        <v>242</v>
      </c>
      <c r="CJ209" t="s">
        <v>206</v>
      </c>
      <c r="CK209" t="s">
        <v>230</v>
      </c>
      <c r="CL209" t="s">
        <v>231</v>
      </c>
      <c r="CM209" t="s">
        <v>232</v>
      </c>
      <c r="CN209" t="s">
        <v>233</v>
      </c>
      <c r="CP209" t="s">
        <v>212</v>
      </c>
      <c r="CQ209" t="s">
        <v>212</v>
      </c>
      <c r="CR209" t="s">
        <v>212</v>
      </c>
      <c r="CS209" t="s">
        <v>212</v>
      </c>
      <c r="CY209" t="s">
        <v>212</v>
      </c>
      <c r="DB209" t="s">
        <v>234</v>
      </c>
      <c r="DE209" t="s">
        <v>212</v>
      </c>
      <c r="DF209" t="s">
        <v>212</v>
      </c>
      <c r="DG209" t="s">
        <v>235</v>
      </c>
      <c r="DH209" t="s">
        <v>212</v>
      </c>
      <c r="DJ209" t="s">
        <v>236</v>
      </c>
      <c r="DM209" t="s">
        <v>212</v>
      </c>
      <c r="GB209" t="s">
        <v>206</v>
      </c>
    </row>
    <row r="210" spans="1:184" x14ac:dyDescent="0.3">
      <c r="A210">
        <v>22878727</v>
      </c>
      <c r="B210">
        <v>7301172</v>
      </c>
      <c r="C210" t="str">
        <f>"161214604367"</f>
        <v>161214604367</v>
      </c>
      <c r="D210" t="s">
        <v>885</v>
      </c>
      <c r="E210" t="s">
        <v>811</v>
      </c>
      <c r="F210" t="s">
        <v>886</v>
      </c>
      <c r="G210" s="1">
        <v>42718</v>
      </c>
      <c r="I210" t="s">
        <v>199</v>
      </c>
      <c r="J210" t="s">
        <v>200</v>
      </c>
      <c r="K210" t="s">
        <v>201</v>
      </c>
      <c r="Q210" t="s">
        <v>212</v>
      </c>
      <c r="R210" t="str">
        <f>"КАЗАХСТАН, АКМОЛИНСКАЯ, СТЕПНОГОРСК, 78, 25"</f>
        <v>КАЗАХСТАН, АКМОЛИНСКАЯ, СТЕПНОГОРСК, 78, 25</v>
      </c>
      <c r="S210" t="str">
        <f>"ҚАЗАҚСТАН, АҚМОЛА, СТЕПНОГОР, 78, 25"</f>
        <v>ҚАЗАҚСТАН, АҚМОЛА, СТЕПНОГОР, 78, 25</v>
      </c>
      <c r="T210" t="str">
        <f>"78, 25"</f>
        <v>78, 25</v>
      </c>
      <c r="U210" t="str">
        <f>"78, 25"</f>
        <v>78, 25</v>
      </c>
      <c r="AC210" t="str">
        <f>"2022-08-25T00:00:00"</f>
        <v>2022-08-25T00:00:00</v>
      </c>
      <c r="AD210" t="str">
        <f>"120"</f>
        <v>120</v>
      </c>
      <c r="AE210" t="str">
        <f>"2023-09-01T13:49:06"</f>
        <v>2023-09-01T13:49:06</v>
      </c>
      <c r="AF210" t="str">
        <f>"2024-05-25T13:49:06"</f>
        <v>2024-05-25T13:49:06</v>
      </c>
      <c r="AG210" t="s">
        <v>202</v>
      </c>
      <c r="AI210" t="s">
        <v>269</v>
      </c>
      <c r="AJ210" t="s">
        <v>660</v>
      </c>
      <c r="AK210" t="s">
        <v>246</v>
      </c>
      <c r="AL210" t="s">
        <v>206</v>
      </c>
      <c r="AN210" t="s">
        <v>207</v>
      </c>
      <c r="AO210">
        <v>1</v>
      </c>
      <c r="AP210" t="s">
        <v>208</v>
      </c>
      <c r="AQ210" t="s">
        <v>209</v>
      </c>
      <c r="AR210" t="s">
        <v>502</v>
      </c>
      <c r="AW210" t="s">
        <v>212</v>
      </c>
      <c r="AZ210" t="s">
        <v>209</v>
      </c>
      <c r="BI210" t="s">
        <v>212</v>
      </c>
      <c r="BJ210" t="s">
        <v>213</v>
      </c>
      <c r="BK210" t="s">
        <v>214</v>
      </c>
      <c r="BL210" t="s">
        <v>357</v>
      </c>
      <c r="BN210" t="s">
        <v>661</v>
      </c>
      <c r="BO210" t="s">
        <v>209</v>
      </c>
      <c r="BS210" t="s">
        <v>220</v>
      </c>
      <c r="BU210" t="s">
        <v>212</v>
      </c>
      <c r="BZ210" t="s">
        <v>662</v>
      </c>
      <c r="CA210" t="s">
        <v>287</v>
      </c>
      <c r="CC210" t="s">
        <v>209</v>
      </c>
      <c r="CE210" t="s">
        <v>242</v>
      </c>
      <c r="CJ210" t="s">
        <v>206</v>
      </c>
      <c r="CK210" t="s">
        <v>230</v>
      </c>
      <c r="CL210" t="s">
        <v>231</v>
      </c>
      <c r="CM210" t="s">
        <v>232</v>
      </c>
      <c r="CN210" t="s">
        <v>233</v>
      </c>
      <c r="CP210" t="s">
        <v>212</v>
      </c>
      <c r="CQ210" t="s">
        <v>212</v>
      </c>
      <c r="CR210" t="s">
        <v>212</v>
      </c>
      <c r="CS210" t="s">
        <v>212</v>
      </c>
      <c r="CY210" t="s">
        <v>212</v>
      </c>
      <c r="DB210" t="s">
        <v>653</v>
      </c>
      <c r="DC210" t="str">
        <f>"№1930 Общее недоразвитие речи 3 уровня."</f>
        <v>№1930 Общее недоразвитие речи 3 уровня.</v>
      </c>
      <c r="DD210" t="str">
        <f>"2023-12-26T00:00:00"</f>
        <v>2023-12-26T00:00:00</v>
      </c>
      <c r="DE210" t="s">
        <v>212</v>
      </c>
      <c r="DF210" t="s">
        <v>206</v>
      </c>
      <c r="DG210" t="s">
        <v>235</v>
      </c>
      <c r="DH210" t="s">
        <v>212</v>
      </c>
      <c r="DJ210" t="s">
        <v>236</v>
      </c>
      <c r="DM210" t="s">
        <v>206</v>
      </c>
      <c r="GB210" t="s">
        <v>206</v>
      </c>
    </row>
    <row r="211" spans="1:184" x14ac:dyDescent="0.3">
      <c r="A211">
        <v>19127467</v>
      </c>
      <c r="B211">
        <v>6075882</v>
      </c>
      <c r="C211" t="str">
        <f>"131008501579"</f>
        <v>131008501579</v>
      </c>
      <c r="D211" t="s">
        <v>887</v>
      </c>
      <c r="E211" t="s">
        <v>888</v>
      </c>
      <c r="F211" t="s">
        <v>889</v>
      </c>
      <c r="G211" s="1">
        <v>41555</v>
      </c>
      <c r="I211" t="s">
        <v>240</v>
      </c>
      <c r="J211" t="s">
        <v>200</v>
      </c>
      <c r="K211" t="s">
        <v>201</v>
      </c>
      <c r="Q211" t="s">
        <v>212</v>
      </c>
      <c r="R211" t="str">
        <f>"КАЗАХСТАН, НУР-СУЛТАН, АЛМАТЫ РАЙОН, -, 55"</f>
        <v>КАЗАХСТАН, НУР-СУЛТАН, АЛМАТЫ РАЙОН, -, 55</v>
      </c>
      <c r="S211" t="str">
        <f>"ҚАЗАҚСТАН, НҰР-СҰЛТАН, АЛМАТЫ АУДАНЫ, -, 55"</f>
        <v>ҚАЗАҚСТАН, НҰР-СҰЛТАН, АЛМАТЫ АУДАНЫ, -, 55</v>
      </c>
      <c r="T211" t="str">
        <f>"-, 55"</f>
        <v>-, 55</v>
      </c>
      <c r="U211" t="str">
        <f>"-, 55"</f>
        <v>-, 55</v>
      </c>
      <c r="AC211" t="str">
        <f>"2021-04-01T00:00:00"</f>
        <v>2021-04-01T00:00:00</v>
      </c>
      <c r="AD211" t="str">
        <f>"60"</f>
        <v>60</v>
      </c>
      <c r="AE211" t="str">
        <f>"2023-09-01T23:36:58"</f>
        <v>2023-09-01T23:36:58</v>
      </c>
      <c r="AF211" t="str">
        <f>"2024-05-25T23:36:58"</f>
        <v>2024-05-25T23:36:58</v>
      </c>
      <c r="AG211" t="s">
        <v>202</v>
      </c>
      <c r="AI211" t="s">
        <v>203</v>
      </c>
      <c r="AJ211" t="s">
        <v>501</v>
      </c>
      <c r="AK211" t="s">
        <v>253</v>
      </c>
      <c r="AL211" t="s">
        <v>206</v>
      </c>
      <c r="AN211" t="s">
        <v>254</v>
      </c>
      <c r="AO211">
        <v>1</v>
      </c>
      <c r="AP211" t="s">
        <v>208</v>
      </c>
      <c r="AQ211" t="s">
        <v>209</v>
      </c>
      <c r="AR211" t="s">
        <v>502</v>
      </c>
      <c r="AW211" t="s">
        <v>212</v>
      </c>
      <c r="AZ211" t="s">
        <v>209</v>
      </c>
      <c r="BI211" t="s">
        <v>212</v>
      </c>
      <c r="BJ211" t="s">
        <v>213</v>
      </c>
      <c r="BK211" t="s">
        <v>214</v>
      </c>
      <c r="BL211" t="s">
        <v>420</v>
      </c>
      <c r="BN211" t="s">
        <v>216</v>
      </c>
      <c r="BO211" t="s">
        <v>209</v>
      </c>
      <c r="BP211" t="s">
        <v>241</v>
      </c>
      <c r="BQ211">
        <v>4</v>
      </c>
      <c r="BS211" t="s">
        <v>219</v>
      </c>
      <c r="BT211" t="s">
        <v>220</v>
      </c>
      <c r="BU211" t="s">
        <v>206</v>
      </c>
      <c r="BZ211" t="s">
        <v>503</v>
      </c>
      <c r="CA211" t="s">
        <v>287</v>
      </c>
      <c r="CC211" t="s">
        <v>222</v>
      </c>
      <c r="CD211" t="s">
        <v>223</v>
      </c>
      <c r="CE211" t="s">
        <v>242</v>
      </c>
      <c r="CJ211" t="s">
        <v>206</v>
      </c>
      <c r="CK211" t="s">
        <v>230</v>
      </c>
      <c r="CL211" t="s">
        <v>231</v>
      </c>
      <c r="CM211" t="s">
        <v>232</v>
      </c>
      <c r="CN211" t="s">
        <v>233</v>
      </c>
      <c r="CP211" t="s">
        <v>212</v>
      </c>
      <c r="CQ211" t="s">
        <v>212</v>
      </c>
      <c r="CR211" t="s">
        <v>212</v>
      </c>
      <c r="CS211" t="s">
        <v>212</v>
      </c>
      <c r="CY211" t="s">
        <v>212</v>
      </c>
      <c r="DB211" t="s">
        <v>234</v>
      </c>
      <c r="DE211" t="s">
        <v>212</v>
      </c>
      <c r="DF211" t="s">
        <v>212</v>
      </c>
      <c r="DG211" t="s">
        <v>235</v>
      </c>
      <c r="DH211" t="s">
        <v>212</v>
      </c>
      <c r="DJ211" t="s">
        <v>236</v>
      </c>
      <c r="DM211" t="s">
        <v>212</v>
      </c>
    </row>
    <row r="212" spans="1:184" x14ac:dyDescent="0.3">
      <c r="A212">
        <v>22878766</v>
      </c>
      <c r="B212">
        <v>7378067</v>
      </c>
      <c r="C212" t="str">
        <f>"160327602293"</f>
        <v>160327602293</v>
      </c>
      <c r="D212" t="s">
        <v>890</v>
      </c>
      <c r="E212" t="s">
        <v>891</v>
      </c>
      <c r="F212" t="s">
        <v>892</v>
      </c>
      <c r="G212" s="1">
        <v>42456</v>
      </c>
      <c r="I212" t="s">
        <v>199</v>
      </c>
      <c r="J212" t="s">
        <v>200</v>
      </c>
      <c r="K212" t="s">
        <v>201</v>
      </c>
      <c r="R212" t="str">
        <f>"КАЗАХСТАН, АКМОЛИНСКАЯ, СТЕПНОГОРСК, 16, 74"</f>
        <v>КАЗАХСТАН, АКМОЛИНСКАЯ, СТЕПНОГОРСК, 16, 74</v>
      </c>
      <c r="S212" t="str">
        <f>"ҚАЗАҚСТАН, АҚМОЛА, СТЕПНОГОР, 16, 74"</f>
        <v>ҚАЗАҚСТАН, АҚМОЛА, СТЕПНОГОР, 16, 74</v>
      </c>
      <c r="T212" t="str">
        <f>"16, 74"</f>
        <v>16, 74</v>
      </c>
      <c r="U212" t="str">
        <f>"16, 74"</f>
        <v>16, 74</v>
      </c>
      <c r="AC212" t="str">
        <f>"2022-08-25T00:00:00"</f>
        <v>2022-08-25T00:00:00</v>
      </c>
      <c r="AD212" t="str">
        <f>"120"</f>
        <v>120</v>
      </c>
      <c r="AG212" t="s">
        <v>202</v>
      </c>
      <c r="AI212" t="s">
        <v>269</v>
      </c>
      <c r="AJ212" t="s">
        <v>570</v>
      </c>
      <c r="AK212" t="s">
        <v>205</v>
      </c>
      <c r="AL212" t="s">
        <v>206</v>
      </c>
      <c r="AN212" t="s">
        <v>207</v>
      </c>
      <c r="AO212">
        <v>2</v>
      </c>
      <c r="AP212" t="s">
        <v>208</v>
      </c>
      <c r="AQ212" t="s">
        <v>209</v>
      </c>
      <c r="AR212" t="s">
        <v>502</v>
      </c>
      <c r="AW212" t="s">
        <v>212</v>
      </c>
      <c r="AZ212" t="s">
        <v>209</v>
      </c>
      <c r="BI212" t="s">
        <v>212</v>
      </c>
      <c r="BJ212" t="s">
        <v>213</v>
      </c>
      <c r="BK212" t="s">
        <v>214</v>
      </c>
      <c r="BL212" t="s">
        <v>357</v>
      </c>
      <c r="BN212" t="s">
        <v>216</v>
      </c>
      <c r="BO212" t="s">
        <v>209</v>
      </c>
      <c r="BP212" t="s">
        <v>241</v>
      </c>
      <c r="BQ212">
        <v>4</v>
      </c>
      <c r="BS212" t="s">
        <v>220</v>
      </c>
      <c r="BU212" t="s">
        <v>212</v>
      </c>
      <c r="BZ212" t="s">
        <v>623</v>
      </c>
      <c r="CA212" t="s">
        <v>287</v>
      </c>
      <c r="CC212" t="s">
        <v>209</v>
      </c>
      <c r="CE212" t="s">
        <v>242</v>
      </c>
      <c r="CJ212" t="s">
        <v>206</v>
      </c>
      <c r="CK212" t="s">
        <v>230</v>
      </c>
      <c r="CL212" t="s">
        <v>231</v>
      </c>
      <c r="CM212" t="s">
        <v>232</v>
      </c>
      <c r="CN212" t="s">
        <v>233</v>
      </c>
      <c r="CP212" t="s">
        <v>212</v>
      </c>
      <c r="CQ212" t="s">
        <v>212</v>
      </c>
      <c r="CR212" t="s">
        <v>212</v>
      </c>
      <c r="CS212" t="s">
        <v>212</v>
      </c>
      <c r="CY212" t="s">
        <v>212</v>
      </c>
      <c r="DB212" t="s">
        <v>234</v>
      </c>
      <c r="DE212" t="s">
        <v>212</v>
      </c>
      <c r="DF212" t="s">
        <v>212</v>
      </c>
      <c r="DG212" t="s">
        <v>235</v>
      </c>
      <c r="DH212" t="s">
        <v>212</v>
      </c>
      <c r="DJ212" t="s">
        <v>236</v>
      </c>
      <c r="DM212" t="s">
        <v>212</v>
      </c>
    </row>
    <row r="213" spans="1:184" x14ac:dyDescent="0.3">
      <c r="A213">
        <v>22878779</v>
      </c>
      <c r="B213">
        <v>12685226</v>
      </c>
      <c r="C213" t="str">
        <f>"160423501786"</f>
        <v>160423501786</v>
      </c>
      <c r="D213" t="s">
        <v>893</v>
      </c>
      <c r="E213" t="s">
        <v>402</v>
      </c>
      <c r="F213" t="s">
        <v>558</v>
      </c>
      <c r="G213" s="1">
        <v>42483</v>
      </c>
      <c r="I213" t="s">
        <v>240</v>
      </c>
      <c r="J213" t="s">
        <v>200</v>
      </c>
      <c r="K213" t="s">
        <v>260</v>
      </c>
      <c r="R213" t="str">
        <f>"КАЗАХСТАН, АКМОЛИНСКАЯ, СТЕПНОГОРСК, 71, 8"</f>
        <v>КАЗАХСТАН, АКМОЛИНСКАЯ, СТЕПНОГОРСК, 71, 8</v>
      </c>
      <c r="S213" t="str">
        <f>"ҚАЗАҚСТАН, АҚМОЛА, СТЕПНОГОР, 71, 8"</f>
        <v>ҚАЗАҚСТАН, АҚМОЛА, СТЕПНОГОР, 71, 8</v>
      </c>
      <c r="T213" t="str">
        <f>"71, 8"</f>
        <v>71, 8</v>
      </c>
      <c r="U213" t="str">
        <f>"71, 8"</f>
        <v>71, 8</v>
      </c>
      <c r="AC213" t="str">
        <f>"2022-08-25T00:00:00"</f>
        <v>2022-08-25T00:00:00</v>
      </c>
      <c r="AD213" t="str">
        <f>"201"</f>
        <v>201</v>
      </c>
      <c r="AG213" t="s">
        <v>202</v>
      </c>
      <c r="AI213" t="s">
        <v>269</v>
      </c>
      <c r="AJ213" t="s">
        <v>660</v>
      </c>
      <c r="AK213" t="s">
        <v>246</v>
      </c>
      <c r="AL213" t="s">
        <v>206</v>
      </c>
      <c r="AN213" t="s">
        <v>207</v>
      </c>
      <c r="AO213">
        <v>1</v>
      </c>
      <c r="AP213" t="s">
        <v>208</v>
      </c>
      <c r="AQ213" t="s">
        <v>209</v>
      </c>
      <c r="AR213" t="s">
        <v>502</v>
      </c>
      <c r="AW213" t="s">
        <v>212</v>
      </c>
      <c r="AZ213" t="s">
        <v>209</v>
      </c>
      <c r="BI213" t="s">
        <v>212</v>
      </c>
      <c r="BJ213" t="s">
        <v>213</v>
      </c>
      <c r="BK213" t="s">
        <v>214</v>
      </c>
      <c r="BL213" t="s">
        <v>357</v>
      </c>
      <c r="BN213" t="s">
        <v>661</v>
      </c>
      <c r="BO213" t="s">
        <v>209</v>
      </c>
      <c r="BS213" t="s">
        <v>220</v>
      </c>
      <c r="BU213" t="s">
        <v>212</v>
      </c>
      <c r="BZ213" t="s">
        <v>662</v>
      </c>
      <c r="CA213" t="s">
        <v>287</v>
      </c>
      <c r="CC213" t="s">
        <v>209</v>
      </c>
      <c r="CE213" t="s">
        <v>242</v>
      </c>
      <c r="CJ213" t="s">
        <v>206</v>
      </c>
      <c r="CK213" t="s">
        <v>230</v>
      </c>
      <c r="CL213" t="s">
        <v>231</v>
      </c>
      <c r="CM213" t="s">
        <v>232</v>
      </c>
      <c r="CN213" t="s">
        <v>233</v>
      </c>
      <c r="CP213" t="s">
        <v>212</v>
      </c>
      <c r="CQ213" t="s">
        <v>212</v>
      </c>
      <c r="CR213" t="s">
        <v>212</v>
      </c>
      <c r="CS213" t="s">
        <v>212</v>
      </c>
      <c r="CY213" t="s">
        <v>212</v>
      </c>
      <c r="DB213" t="s">
        <v>234</v>
      </c>
      <c r="DE213" t="s">
        <v>212</v>
      </c>
      <c r="DF213" t="s">
        <v>212</v>
      </c>
      <c r="DG213" t="s">
        <v>235</v>
      </c>
      <c r="DH213" t="s">
        <v>212</v>
      </c>
      <c r="DJ213" t="s">
        <v>236</v>
      </c>
      <c r="DM213" t="s">
        <v>212</v>
      </c>
      <c r="GB213" t="s">
        <v>206</v>
      </c>
    </row>
    <row r="214" spans="1:184" x14ac:dyDescent="0.3">
      <c r="A214">
        <v>18708888</v>
      </c>
      <c r="B214">
        <v>119596</v>
      </c>
      <c r="C214" t="str">
        <f>"090408650119"</f>
        <v>090408650119</v>
      </c>
      <c r="D214" t="s">
        <v>894</v>
      </c>
      <c r="E214" t="s">
        <v>347</v>
      </c>
      <c r="F214" t="s">
        <v>555</v>
      </c>
      <c r="G214" s="1">
        <v>39911</v>
      </c>
      <c r="I214" t="s">
        <v>199</v>
      </c>
      <c r="J214" t="s">
        <v>200</v>
      </c>
      <c r="K214" t="s">
        <v>306</v>
      </c>
      <c r="R214" t="str">
        <f>"АНДОРРА, АКМОЛИНСКАЯ, СТЕПНОГОРСК, 15, 299"</f>
        <v>АНДОРРА, АКМОЛИНСКАЯ, СТЕПНОГОРСК, 15, 299</v>
      </c>
      <c r="S214" t="str">
        <f>"АНДОРРА, АҚМОЛА, СТЕПНОГОР, 15, 299"</f>
        <v>АНДОРРА, АҚМОЛА, СТЕПНОГОР, 15, 299</v>
      </c>
      <c r="T214" t="str">
        <f>"15, 299"</f>
        <v>15, 299</v>
      </c>
      <c r="U214" t="str">
        <f>"15, 299"</f>
        <v>15, 299</v>
      </c>
      <c r="AC214" t="str">
        <f>"2021-01-12T00:00:00"</f>
        <v>2021-01-12T00:00:00</v>
      </c>
      <c r="AD214" t="str">
        <f>"50"</f>
        <v>50</v>
      </c>
      <c r="AG214" t="s">
        <v>202</v>
      </c>
      <c r="AH214" t="str">
        <f>"ckool007@mail.ru"</f>
        <v>ckool007@mail.ru</v>
      </c>
      <c r="AI214" t="s">
        <v>203</v>
      </c>
      <c r="AJ214" t="s">
        <v>286</v>
      </c>
      <c r="AK214" t="s">
        <v>246</v>
      </c>
      <c r="AL214" t="s">
        <v>206</v>
      </c>
      <c r="AN214" t="s">
        <v>207</v>
      </c>
      <c r="AO214">
        <v>1</v>
      </c>
      <c r="AP214" t="s">
        <v>208</v>
      </c>
      <c r="AQ214" t="s">
        <v>209</v>
      </c>
      <c r="AR214" t="s">
        <v>210</v>
      </c>
      <c r="AW214" t="s">
        <v>206</v>
      </c>
      <c r="AX214" t="s">
        <v>211</v>
      </c>
      <c r="AZ214" t="s">
        <v>209</v>
      </c>
      <c r="BI214" t="s">
        <v>212</v>
      </c>
      <c r="BJ214" t="s">
        <v>213</v>
      </c>
      <c r="BK214" t="s">
        <v>214</v>
      </c>
      <c r="BL214" t="s">
        <v>215</v>
      </c>
      <c r="BN214" t="s">
        <v>216</v>
      </c>
      <c r="BO214" t="s">
        <v>209</v>
      </c>
      <c r="BP214" t="s">
        <v>241</v>
      </c>
      <c r="BQ214">
        <v>4</v>
      </c>
      <c r="BS214" t="s">
        <v>219</v>
      </c>
      <c r="BT214" t="s">
        <v>220</v>
      </c>
      <c r="BU214" t="s">
        <v>206</v>
      </c>
      <c r="BX214" t="s">
        <v>234</v>
      </c>
      <c r="BY214" t="s">
        <v>234</v>
      </c>
      <c r="CA214" t="s">
        <v>263</v>
      </c>
      <c r="CB214" t="s">
        <v>223</v>
      </c>
      <c r="CC214" t="s">
        <v>209</v>
      </c>
      <c r="CE214" t="s">
        <v>895</v>
      </c>
      <c r="CF214" t="s">
        <v>226</v>
      </c>
      <c r="CG214" t="s">
        <v>611</v>
      </c>
      <c r="CH214" t="s">
        <v>209</v>
      </c>
      <c r="CI214" t="s">
        <v>896</v>
      </c>
      <c r="CJ214" t="s">
        <v>206</v>
      </c>
      <c r="CK214" t="s">
        <v>291</v>
      </c>
      <c r="CM214" t="s">
        <v>292</v>
      </c>
      <c r="CN214" t="s">
        <v>233</v>
      </c>
      <c r="CP214" t="s">
        <v>212</v>
      </c>
      <c r="CQ214" t="s">
        <v>212</v>
      </c>
      <c r="CR214" t="s">
        <v>212</v>
      </c>
      <c r="CS214" t="s">
        <v>212</v>
      </c>
      <c r="CY214" t="s">
        <v>212</v>
      </c>
      <c r="DB214" t="s">
        <v>234</v>
      </c>
      <c r="DE214" t="s">
        <v>212</v>
      </c>
      <c r="DF214" t="s">
        <v>212</v>
      </c>
      <c r="DG214" t="s">
        <v>235</v>
      </c>
      <c r="DH214" t="s">
        <v>212</v>
      </c>
      <c r="DJ214" t="s">
        <v>236</v>
      </c>
      <c r="DM214" t="s">
        <v>212</v>
      </c>
    </row>
    <row r="215" spans="1:184" x14ac:dyDescent="0.3">
      <c r="A215">
        <v>18647289</v>
      </c>
      <c r="B215">
        <v>173742</v>
      </c>
      <c r="C215" t="str">
        <f>"120206601061"</f>
        <v>120206601061</v>
      </c>
      <c r="D215" t="s">
        <v>445</v>
      </c>
      <c r="E215" t="s">
        <v>897</v>
      </c>
      <c r="F215" t="s">
        <v>551</v>
      </c>
      <c r="G215" s="1">
        <v>40945</v>
      </c>
      <c r="I215" t="s">
        <v>199</v>
      </c>
      <c r="J215" t="s">
        <v>200</v>
      </c>
      <c r="K215" t="s">
        <v>201</v>
      </c>
      <c r="Q215" t="s">
        <v>212</v>
      </c>
      <c r="R215" t="str">
        <f>"КАЗАХСТАН, АКМОЛИНСКАЯ, СТЕПНОГОРСК, 33, 44"</f>
        <v>КАЗАХСТАН, АКМОЛИНСКАЯ, СТЕПНОГОРСК, 33, 44</v>
      </c>
      <c r="S215" t="str">
        <f>"ҚАЗАҚСТАН, АҚМОЛА, СТЕПНОГОР, 33, 44"</f>
        <v>ҚАЗАҚСТАН, АҚМОЛА, СТЕПНОГОР, 33, 44</v>
      </c>
      <c r="T215" t="str">
        <f>"33, 44"</f>
        <v>33, 44</v>
      </c>
      <c r="U215" t="str">
        <f>"33, 44"</f>
        <v>33, 44</v>
      </c>
      <c r="AC215" t="str">
        <f>"2021-01-12T00:00:00"</f>
        <v>2021-01-12T00:00:00</v>
      </c>
      <c r="AD215" t="str">
        <f>"49"</f>
        <v>49</v>
      </c>
      <c r="AG215" t="s">
        <v>202</v>
      </c>
      <c r="AI215" t="s">
        <v>299</v>
      </c>
      <c r="AJ215" t="s">
        <v>348</v>
      </c>
      <c r="AK215" t="s">
        <v>261</v>
      </c>
      <c r="AL215" t="s">
        <v>206</v>
      </c>
      <c r="AN215" t="s">
        <v>207</v>
      </c>
      <c r="AO215">
        <v>1</v>
      </c>
      <c r="AP215" t="s">
        <v>208</v>
      </c>
      <c r="AQ215" t="s">
        <v>209</v>
      </c>
      <c r="AR215" t="s">
        <v>210</v>
      </c>
      <c r="AW215" t="s">
        <v>206</v>
      </c>
      <c r="AX215" t="s">
        <v>211</v>
      </c>
      <c r="AZ215" t="s">
        <v>209</v>
      </c>
      <c r="BI215" t="s">
        <v>212</v>
      </c>
      <c r="BJ215" t="s">
        <v>213</v>
      </c>
      <c r="BK215" t="s">
        <v>214</v>
      </c>
      <c r="BL215" t="s">
        <v>215</v>
      </c>
      <c r="BN215" t="s">
        <v>247</v>
      </c>
      <c r="BO215" t="s">
        <v>209</v>
      </c>
      <c r="BP215" t="s">
        <v>241</v>
      </c>
      <c r="BQ215">
        <v>3</v>
      </c>
      <c r="BS215" t="s">
        <v>219</v>
      </c>
      <c r="BT215" t="s">
        <v>220</v>
      </c>
      <c r="BU215" t="s">
        <v>206</v>
      </c>
      <c r="BX215" t="s">
        <v>221</v>
      </c>
      <c r="BY215" t="s">
        <v>221</v>
      </c>
      <c r="CA215" t="s">
        <v>287</v>
      </c>
      <c r="CC215" t="s">
        <v>222</v>
      </c>
      <c r="CD215" t="s">
        <v>223</v>
      </c>
      <c r="CE215" t="s">
        <v>242</v>
      </c>
      <c r="CJ215" t="s">
        <v>206</v>
      </c>
      <c r="CK215" t="s">
        <v>230</v>
      </c>
      <c r="CL215" t="s">
        <v>231</v>
      </c>
      <c r="CM215" t="s">
        <v>232</v>
      </c>
      <c r="CN215" t="s">
        <v>233</v>
      </c>
      <c r="CP215" t="s">
        <v>212</v>
      </c>
      <c r="CQ215" t="s">
        <v>212</v>
      </c>
      <c r="CR215" t="s">
        <v>212</v>
      </c>
      <c r="CS215" t="s">
        <v>212</v>
      </c>
      <c r="CY215" t="s">
        <v>212</v>
      </c>
      <c r="DB215" t="s">
        <v>234</v>
      </c>
      <c r="DE215" t="s">
        <v>212</v>
      </c>
      <c r="DF215" t="s">
        <v>212</v>
      </c>
      <c r="DG215" t="s">
        <v>235</v>
      </c>
      <c r="DH215" t="s">
        <v>212</v>
      </c>
      <c r="DJ215" t="s">
        <v>236</v>
      </c>
      <c r="DM215" t="s">
        <v>212</v>
      </c>
    </row>
    <row r="216" spans="1:184" x14ac:dyDescent="0.3">
      <c r="A216">
        <v>18523428</v>
      </c>
      <c r="B216">
        <v>166011</v>
      </c>
      <c r="C216" t="str">
        <f>"120731602738"</f>
        <v>120731602738</v>
      </c>
      <c r="D216" t="s">
        <v>898</v>
      </c>
      <c r="E216" t="s">
        <v>899</v>
      </c>
      <c r="F216" t="s">
        <v>408</v>
      </c>
      <c r="G216" s="1">
        <v>41121</v>
      </c>
      <c r="I216" t="s">
        <v>199</v>
      </c>
      <c r="J216" t="s">
        <v>200</v>
      </c>
      <c r="K216" t="s">
        <v>260</v>
      </c>
      <c r="Q216" t="s">
        <v>212</v>
      </c>
      <c r="R216" t="str">
        <f>"КАЗАХСТАН, АКМОЛИНСКАЯ, СТЕПНОГОРСК, 36, 29"</f>
        <v>КАЗАХСТАН, АКМОЛИНСКАЯ, СТЕПНОГОРСК, 36, 29</v>
      </c>
      <c r="S216" t="str">
        <f>"ҚАЗАҚСТАН, АҚМОЛА, СТЕПНОГОР, 36, 29"</f>
        <v>ҚАЗАҚСТАН, АҚМОЛА, СТЕПНОГОР, 36, 29</v>
      </c>
      <c r="T216" t="str">
        <f>"36, 29"</f>
        <v>36, 29</v>
      </c>
      <c r="U216" t="str">
        <f>"36, 29"</f>
        <v>36, 29</v>
      </c>
      <c r="AC216" t="str">
        <f>"2020-12-11T00:00:00"</f>
        <v>2020-12-11T00:00:00</v>
      </c>
      <c r="AD216" t="str">
        <f>"45"</f>
        <v>45</v>
      </c>
      <c r="AE216" t="str">
        <f>"2023-09-01T00:06:10"</f>
        <v>2023-09-01T00:06:10</v>
      </c>
      <c r="AF216" t="str">
        <f>"2024-05-25T00:06:10"</f>
        <v>2024-05-25T00:06:10</v>
      </c>
      <c r="AG216" t="s">
        <v>202</v>
      </c>
      <c r="AI216" t="s">
        <v>299</v>
      </c>
      <c r="AJ216" t="s">
        <v>419</v>
      </c>
      <c r="AK216" t="s">
        <v>246</v>
      </c>
      <c r="AL216" t="s">
        <v>206</v>
      </c>
      <c r="AN216" t="s">
        <v>207</v>
      </c>
      <c r="AO216">
        <v>1</v>
      </c>
      <c r="AP216" t="s">
        <v>208</v>
      </c>
      <c r="AQ216" t="s">
        <v>209</v>
      </c>
      <c r="AR216" t="s">
        <v>210</v>
      </c>
      <c r="AW216" t="s">
        <v>206</v>
      </c>
      <c r="AX216" t="s">
        <v>211</v>
      </c>
      <c r="AZ216" t="s">
        <v>209</v>
      </c>
      <c r="BI216" t="s">
        <v>212</v>
      </c>
      <c r="BJ216" t="s">
        <v>213</v>
      </c>
      <c r="BK216" t="s">
        <v>214</v>
      </c>
      <c r="BL216" t="s">
        <v>215</v>
      </c>
      <c r="BN216" t="s">
        <v>247</v>
      </c>
      <c r="BO216" t="s">
        <v>209</v>
      </c>
      <c r="BP216" t="s">
        <v>241</v>
      </c>
      <c r="BQ216">
        <v>3</v>
      </c>
      <c r="BS216" t="s">
        <v>219</v>
      </c>
      <c r="BT216" t="s">
        <v>220</v>
      </c>
      <c r="BU216" t="s">
        <v>206</v>
      </c>
      <c r="BX216" t="s">
        <v>221</v>
      </c>
      <c r="BY216" t="s">
        <v>221</v>
      </c>
      <c r="CA216" t="s">
        <v>287</v>
      </c>
      <c r="CC216" t="s">
        <v>353</v>
      </c>
      <c r="CD216" t="s">
        <v>223</v>
      </c>
      <c r="CE216" t="s">
        <v>242</v>
      </c>
      <c r="CJ216" t="s">
        <v>206</v>
      </c>
      <c r="CK216" t="s">
        <v>230</v>
      </c>
      <c r="CL216" t="s">
        <v>231</v>
      </c>
      <c r="CM216" t="s">
        <v>232</v>
      </c>
      <c r="CN216" t="s">
        <v>233</v>
      </c>
      <c r="CP216" t="s">
        <v>212</v>
      </c>
      <c r="CQ216" t="s">
        <v>212</v>
      </c>
      <c r="CR216" t="s">
        <v>212</v>
      </c>
      <c r="CS216" t="s">
        <v>212</v>
      </c>
      <c r="CY216" t="s">
        <v>212</v>
      </c>
      <c r="DB216" t="s">
        <v>234</v>
      </c>
      <c r="DE216" t="s">
        <v>212</v>
      </c>
      <c r="DF216" t="s">
        <v>212</v>
      </c>
      <c r="DG216" t="s">
        <v>235</v>
      </c>
      <c r="DH216" t="s">
        <v>212</v>
      </c>
      <c r="DJ216" t="s">
        <v>236</v>
      </c>
      <c r="DM216" t="s">
        <v>212</v>
      </c>
    </row>
    <row r="217" spans="1:184" x14ac:dyDescent="0.3">
      <c r="A217">
        <v>18015641</v>
      </c>
      <c r="B217">
        <v>8936004</v>
      </c>
      <c r="C217" t="str">
        <f>"130715600706"</f>
        <v>130715600706</v>
      </c>
      <c r="D217" t="s">
        <v>559</v>
      </c>
      <c r="E217" t="s">
        <v>862</v>
      </c>
      <c r="F217" t="s">
        <v>305</v>
      </c>
      <c r="G217" s="1">
        <v>41470</v>
      </c>
      <c r="I217" t="s">
        <v>199</v>
      </c>
      <c r="J217" t="s">
        <v>200</v>
      </c>
      <c r="K217" t="s">
        <v>260</v>
      </c>
      <c r="Q217" t="s">
        <v>212</v>
      </c>
      <c r="R217" t="str">
        <f>"КАЗАХСТАН, АКМОЛИНСКАЯ, ШОРТАНДИНСКИЙ РАЙОН, Пригородный, Камышенка, 9"</f>
        <v>КАЗАХСТАН, АКМОЛИНСКАЯ, ШОРТАНДИНСКИЙ РАЙОН, Пригородный, Камышенка, 9</v>
      </c>
      <c r="S217" t="str">
        <f>"ҚАЗАҚСТАН, АҚМОЛА, ШОРТАНДЫ АУДАНЫ, Пригородный, Камышенка, 9"</f>
        <v>ҚАЗАҚСТАН, АҚМОЛА, ШОРТАНДЫ АУДАНЫ, Пригородный, Камышенка, 9</v>
      </c>
      <c r="T217" t="str">
        <f>"Пригородный, Камышенка, 9"</f>
        <v>Пригородный, Камышенка, 9</v>
      </c>
      <c r="U217" t="str">
        <f>"Пригородный, Камышенка, 9"</f>
        <v>Пригородный, Камышенка, 9</v>
      </c>
      <c r="AC217" t="str">
        <f>"2020-11-12T00:00:00"</f>
        <v>2020-11-12T00:00:00</v>
      </c>
      <c r="AD217" t="str">
        <f>"34"</f>
        <v>34</v>
      </c>
      <c r="AG217" t="s">
        <v>333</v>
      </c>
      <c r="AI217" t="s">
        <v>274</v>
      </c>
      <c r="AJ217" t="s">
        <v>501</v>
      </c>
      <c r="AK217" t="s">
        <v>261</v>
      </c>
      <c r="AL217" t="s">
        <v>206</v>
      </c>
      <c r="AN217" t="s">
        <v>207</v>
      </c>
      <c r="AO217">
        <v>1</v>
      </c>
      <c r="AP217" t="s">
        <v>208</v>
      </c>
      <c r="AQ217" t="s">
        <v>209</v>
      </c>
      <c r="AR217" t="s">
        <v>502</v>
      </c>
      <c r="AW217" t="s">
        <v>212</v>
      </c>
      <c r="AZ217" t="s">
        <v>209</v>
      </c>
      <c r="BI217" t="s">
        <v>212</v>
      </c>
      <c r="BJ217" t="s">
        <v>213</v>
      </c>
      <c r="BK217" t="s">
        <v>214</v>
      </c>
      <c r="BL217" t="s">
        <v>357</v>
      </c>
      <c r="BN217" t="s">
        <v>216</v>
      </c>
      <c r="BO217" t="s">
        <v>209</v>
      </c>
      <c r="BP217" t="s">
        <v>241</v>
      </c>
      <c r="BQ217">
        <v>4</v>
      </c>
      <c r="BS217" t="s">
        <v>219</v>
      </c>
      <c r="BT217" t="s">
        <v>220</v>
      </c>
      <c r="BU217" t="s">
        <v>206</v>
      </c>
      <c r="BX217" t="s">
        <v>221</v>
      </c>
      <c r="BY217" t="s">
        <v>221</v>
      </c>
      <c r="BZ217" t="s">
        <v>503</v>
      </c>
      <c r="CA217" t="s">
        <v>287</v>
      </c>
      <c r="CC217" t="s">
        <v>222</v>
      </c>
      <c r="CD217" t="s">
        <v>223</v>
      </c>
      <c r="CE217" t="s">
        <v>242</v>
      </c>
      <c r="CJ217" t="s">
        <v>206</v>
      </c>
      <c r="CK217" t="s">
        <v>230</v>
      </c>
      <c r="CL217" t="s">
        <v>231</v>
      </c>
      <c r="CM217" t="s">
        <v>232</v>
      </c>
      <c r="CN217" t="s">
        <v>233</v>
      </c>
      <c r="CP217" t="s">
        <v>212</v>
      </c>
      <c r="CQ217" t="s">
        <v>212</v>
      </c>
      <c r="CR217" t="s">
        <v>212</v>
      </c>
      <c r="CS217" t="s">
        <v>212</v>
      </c>
      <c r="CY217" t="s">
        <v>212</v>
      </c>
      <c r="DB217" t="s">
        <v>234</v>
      </c>
      <c r="DE217" t="s">
        <v>212</v>
      </c>
      <c r="DF217" t="s">
        <v>212</v>
      </c>
      <c r="DG217" t="s">
        <v>235</v>
      </c>
      <c r="DH217" t="s">
        <v>212</v>
      </c>
      <c r="DJ217" t="s">
        <v>236</v>
      </c>
      <c r="DM217" t="s">
        <v>212</v>
      </c>
    </row>
    <row r="218" spans="1:184" x14ac:dyDescent="0.3">
      <c r="A218">
        <v>17963620</v>
      </c>
      <c r="B218">
        <v>10637322</v>
      </c>
      <c r="C218" t="str">
        <f>"140702605371"</f>
        <v>140702605371</v>
      </c>
      <c r="D218" t="s">
        <v>900</v>
      </c>
      <c r="E218" t="s">
        <v>516</v>
      </c>
      <c r="F218" t="s">
        <v>805</v>
      </c>
      <c r="G218" s="1">
        <v>41822</v>
      </c>
      <c r="I218" t="s">
        <v>199</v>
      </c>
      <c r="J218" t="s">
        <v>200</v>
      </c>
      <c r="K218" t="s">
        <v>260</v>
      </c>
      <c r="Q218" t="s">
        <v>212</v>
      </c>
      <c r="R218" t="str">
        <f>"КАЗАХСТАН, АКМОЛИНСКАЯ, СТЕПНОГОРСК, 29"</f>
        <v>КАЗАХСТАН, АКМОЛИНСКАЯ, СТЕПНОГОРСК, 29</v>
      </c>
      <c r="S218" t="str">
        <f>"ҚАЗАҚСТАН, АҚМОЛА, СТЕПНОГОР, 29"</f>
        <v>ҚАЗАҚСТАН, АҚМОЛА, СТЕПНОГОР, 29</v>
      </c>
      <c r="T218" t="str">
        <f>"29"</f>
        <v>29</v>
      </c>
      <c r="U218" t="str">
        <f>"29"</f>
        <v>29</v>
      </c>
      <c r="AC218" t="str">
        <f>"2020-10-14T00:00:00"</f>
        <v>2020-10-14T00:00:00</v>
      </c>
      <c r="AD218" t="str">
        <f>"20"</f>
        <v>20</v>
      </c>
      <c r="AE218" t="str">
        <f>"2023-09-01T14:07:02"</f>
        <v>2023-09-01T14:07:02</v>
      </c>
      <c r="AF218" t="str">
        <f>"2024-05-25T14:07:02"</f>
        <v>2024-05-25T14:07:02</v>
      </c>
      <c r="AG218" t="s">
        <v>202</v>
      </c>
      <c r="AI218" t="s">
        <v>274</v>
      </c>
      <c r="AJ218" t="s">
        <v>540</v>
      </c>
      <c r="AK218" t="s">
        <v>246</v>
      </c>
      <c r="AL218" t="s">
        <v>206</v>
      </c>
      <c r="AN218" t="s">
        <v>207</v>
      </c>
      <c r="AO218">
        <v>2</v>
      </c>
      <c r="AP218" t="s">
        <v>208</v>
      </c>
      <c r="AQ218" t="s">
        <v>209</v>
      </c>
      <c r="AR218" t="s">
        <v>502</v>
      </c>
      <c r="AW218" t="s">
        <v>212</v>
      </c>
      <c r="AZ218" t="s">
        <v>209</v>
      </c>
      <c r="BI218" t="s">
        <v>212</v>
      </c>
      <c r="BJ218" t="s">
        <v>213</v>
      </c>
      <c r="BK218" t="s">
        <v>214</v>
      </c>
      <c r="BL218" t="s">
        <v>357</v>
      </c>
      <c r="BN218" t="s">
        <v>247</v>
      </c>
      <c r="BO218" t="s">
        <v>209</v>
      </c>
      <c r="BP218" t="s">
        <v>241</v>
      </c>
      <c r="BQ218">
        <v>3</v>
      </c>
      <c r="BS218" t="s">
        <v>219</v>
      </c>
      <c r="BT218" t="s">
        <v>220</v>
      </c>
      <c r="BU218" t="s">
        <v>206</v>
      </c>
      <c r="BX218" t="s">
        <v>221</v>
      </c>
      <c r="BY218" t="s">
        <v>221</v>
      </c>
      <c r="BZ218" t="s">
        <v>541</v>
      </c>
      <c r="CA218" t="s">
        <v>287</v>
      </c>
      <c r="CC218" t="s">
        <v>222</v>
      </c>
      <c r="CD218" t="s">
        <v>223</v>
      </c>
      <c r="CE218" t="s">
        <v>242</v>
      </c>
      <c r="CJ218" t="s">
        <v>206</v>
      </c>
      <c r="CK218" t="s">
        <v>230</v>
      </c>
      <c r="CL218" t="s">
        <v>231</v>
      </c>
      <c r="CM218" t="s">
        <v>232</v>
      </c>
      <c r="CN218" t="s">
        <v>233</v>
      </c>
      <c r="CP218" t="s">
        <v>212</v>
      </c>
      <c r="CQ218" t="s">
        <v>212</v>
      </c>
      <c r="CR218" t="s">
        <v>212</v>
      </c>
      <c r="CS218" t="s">
        <v>212</v>
      </c>
      <c r="CY218" t="s">
        <v>212</v>
      </c>
      <c r="DB218" t="s">
        <v>683</v>
      </c>
      <c r="DC218" t="str">
        <f>"№350 Задержка психического развития."</f>
        <v>№350 Задержка психического развития.</v>
      </c>
      <c r="DD218" t="str">
        <f>"2023-04-25T00:00:00"</f>
        <v>2023-04-25T00:00:00</v>
      </c>
      <c r="DE218" t="s">
        <v>212</v>
      </c>
      <c r="DF218" t="s">
        <v>206</v>
      </c>
      <c r="DG218" t="s">
        <v>235</v>
      </c>
      <c r="DH218" t="s">
        <v>212</v>
      </c>
      <c r="DJ218" t="s">
        <v>236</v>
      </c>
      <c r="DM218" t="s">
        <v>212</v>
      </c>
    </row>
    <row r="219" spans="1:184" x14ac:dyDescent="0.3">
      <c r="A219">
        <v>22878874</v>
      </c>
      <c r="B219">
        <v>12685243</v>
      </c>
      <c r="C219" t="str">
        <f>"161101604632"</f>
        <v>161101604632</v>
      </c>
      <c r="D219" t="s">
        <v>901</v>
      </c>
      <c r="E219" t="s">
        <v>811</v>
      </c>
      <c r="F219" t="s">
        <v>368</v>
      </c>
      <c r="G219" s="1">
        <v>42675</v>
      </c>
      <c r="I219" t="s">
        <v>199</v>
      </c>
      <c r="J219" t="s">
        <v>200</v>
      </c>
      <c r="K219" t="s">
        <v>201</v>
      </c>
      <c r="R219" t="str">
        <f>"КАЗАХСТАН, АКМОЛИНСКАЯ, СТЕПНОГОРСК, 33, 49"</f>
        <v>КАЗАХСТАН, АКМОЛИНСКАЯ, СТЕПНОГОРСК, 33, 49</v>
      </c>
      <c r="S219" t="str">
        <f>"ҚАЗАҚСТАН, АҚМОЛА, СТЕПНОГОР, 33, 49"</f>
        <v>ҚАЗАҚСТАН, АҚМОЛА, СТЕПНОГОР, 33, 49</v>
      </c>
      <c r="T219" t="str">
        <f>"33, 49"</f>
        <v>33, 49</v>
      </c>
      <c r="U219" t="str">
        <f>"33, 49"</f>
        <v>33, 49</v>
      </c>
      <c r="AC219" t="str">
        <f>"2023-08-25T00:00:00"</f>
        <v>2023-08-25T00:00:00</v>
      </c>
      <c r="AD219" t="str">
        <f>"201"</f>
        <v>201</v>
      </c>
      <c r="AG219" t="s">
        <v>202</v>
      </c>
      <c r="AI219" t="s">
        <v>269</v>
      </c>
      <c r="AJ219" t="s">
        <v>660</v>
      </c>
      <c r="AK219" t="s">
        <v>205</v>
      </c>
      <c r="AL219" t="s">
        <v>206</v>
      </c>
      <c r="AN219" t="s">
        <v>207</v>
      </c>
      <c r="AO219">
        <v>1</v>
      </c>
      <c r="AP219" t="s">
        <v>208</v>
      </c>
      <c r="AQ219" t="s">
        <v>209</v>
      </c>
      <c r="AR219" t="s">
        <v>210</v>
      </c>
      <c r="AW219" t="s">
        <v>206</v>
      </c>
      <c r="AX219" t="s">
        <v>211</v>
      </c>
      <c r="AZ219" t="s">
        <v>209</v>
      </c>
      <c r="BI219" t="s">
        <v>212</v>
      </c>
      <c r="BJ219" t="s">
        <v>213</v>
      </c>
      <c r="BK219" t="s">
        <v>214</v>
      </c>
      <c r="BL219" t="s">
        <v>357</v>
      </c>
      <c r="BN219" t="s">
        <v>661</v>
      </c>
      <c r="BO219" t="s">
        <v>209</v>
      </c>
      <c r="BS219" t="s">
        <v>220</v>
      </c>
      <c r="BU219" t="s">
        <v>212</v>
      </c>
      <c r="BZ219" t="s">
        <v>662</v>
      </c>
      <c r="CA219" t="s">
        <v>287</v>
      </c>
      <c r="CC219" t="s">
        <v>209</v>
      </c>
      <c r="CE219" t="s">
        <v>242</v>
      </c>
      <c r="CJ219" t="s">
        <v>206</v>
      </c>
      <c r="CK219" t="s">
        <v>230</v>
      </c>
      <c r="CL219" t="s">
        <v>231</v>
      </c>
      <c r="CM219" t="s">
        <v>232</v>
      </c>
      <c r="CN219" t="s">
        <v>233</v>
      </c>
      <c r="CP219" t="s">
        <v>212</v>
      </c>
      <c r="CQ219" t="s">
        <v>212</v>
      </c>
      <c r="CR219" t="s">
        <v>212</v>
      </c>
      <c r="CS219" t="s">
        <v>212</v>
      </c>
      <c r="CY219" t="s">
        <v>212</v>
      </c>
      <c r="DB219" t="s">
        <v>234</v>
      </c>
      <c r="DE219" t="s">
        <v>212</v>
      </c>
      <c r="DF219" t="s">
        <v>212</v>
      </c>
      <c r="DG219" t="s">
        <v>235</v>
      </c>
      <c r="DH219" t="s">
        <v>212</v>
      </c>
      <c r="DJ219" t="s">
        <v>421</v>
      </c>
      <c r="DK219" t="s">
        <v>707</v>
      </c>
      <c r="DL219" t="s">
        <v>423</v>
      </c>
      <c r="DM219" t="s">
        <v>206</v>
      </c>
      <c r="GB219" t="s">
        <v>206</v>
      </c>
    </row>
    <row r="220" spans="1:184" x14ac:dyDescent="0.3">
      <c r="A220">
        <v>17935247</v>
      </c>
      <c r="B220">
        <v>769759</v>
      </c>
      <c r="C220" t="str">
        <f>"140305503043"</f>
        <v>140305503043</v>
      </c>
      <c r="D220" t="s">
        <v>902</v>
      </c>
      <c r="E220" t="s">
        <v>903</v>
      </c>
      <c r="F220" t="s">
        <v>904</v>
      </c>
      <c r="G220" s="1">
        <v>41703</v>
      </c>
      <c r="I220" t="s">
        <v>240</v>
      </c>
      <c r="J220" t="s">
        <v>200</v>
      </c>
      <c r="K220" t="s">
        <v>201</v>
      </c>
      <c r="R220" t="str">
        <f>"КАЗАХСТАН, АКМОЛИНСКАЯ, СТЕПНОГОРСК, 43, 72"</f>
        <v>КАЗАХСТАН, АКМОЛИНСКАЯ, СТЕПНОГОРСК, 43, 72</v>
      </c>
      <c r="S220" t="str">
        <f>"ҚАЗАҚСТАН, АҚМОЛА, СТЕПНОГОР, 43, 72"</f>
        <v>ҚАЗАҚСТАН, АҚМОЛА, СТЕПНОГОР, 43, 72</v>
      </c>
      <c r="T220" t="str">
        <f>"43, 72"</f>
        <v>43, 72</v>
      </c>
      <c r="U220" t="str">
        <f>"43, 72"</f>
        <v>43, 72</v>
      </c>
      <c r="AC220" t="str">
        <f>"2020-10-01T00:00:00"</f>
        <v>2020-10-01T00:00:00</v>
      </c>
      <c r="AD220" t="str">
        <f>"1"</f>
        <v>1</v>
      </c>
      <c r="AE220" t="str">
        <f>"2023-09-01T16:51:17"</f>
        <v>2023-09-01T16:51:17</v>
      </c>
      <c r="AF220" t="str">
        <f>"2024-05-25T16:51:17"</f>
        <v>2024-05-25T16:51:17</v>
      </c>
      <c r="AG220" t="s">
        <v>202</v>
      </c>
      <c r="AI220" t="s">
        <v>274</v>
      </c>
      <c r="AJ220" t="s">
        <v>540</v>
      </c>
      <c r="AK220" t="s">
        <v>261</v>
      </c>
      <c r="AL220" t="s">
        <v>206</v>
      </c>
      <c r="AN220" t="s">
        <v>207</v>
      </c>
      <c r="AO220">
        <v>2</v>
      </c>
      <c r="AP220" t="s">
        <v>208</v>
      </c>
      <c r="AQ220" t="s">
        <v>209</v>
      </c>
      <c r="AR220" t="s">
        <v>502</v>
      </c>
      <c r="AW220" t="s">
        <v>212</v>
      </c>
      <c r="AZ220" t="s">
        <v>209</v>
      </c>
      <c r="BI220" t="s">
        <v>212</v>
      </c>
      <c r="BJ220" t="s">
        <v>213</v>
      </c>
      <c r="BK220" t="s">
        <v>214</v>
      </c>
      <c r="BL220" t="s">
        <v>357</v>
      </c>
      <c r="BN220" t="s">
        <v>281</v>
      </c>
      <c r="BO220" t="s">
        <v>209</v>
      </c>
      <c r="BP220" t="s">
        <v>241</v>
      </c>
      <c r="BQ220">
        <v>5</v>
      </c>
      <c r="BS220" t="s">
        <v>219</v>
      </c>
      <c r="BT220" t="s">
        <v>220</v>
      </c>
      <c r="BU220" t="s">
        <v>206</v>
      </c>
      <c r="BX220" t="s">
        <v>221</v>
      </c>
      <c r="BY220" t="s">
        <v>221</v>
      </c>
      <c r="BZ220" t="s">
        <v>541</v>
      </c>
      <c r="CA220" t="s">
        <v>287</v>
      </c>
      <c r="CC220" t="s">
        <v>222</v>
      </c>
      <c r="CD220" t="s">
        <v>223</v>
      </c>
      <c r="CE220" t="s">
        <v>242</v>
      </c>
      <c r="CJ220" t="s">
        <v>206</v>
      </c>
      <c r="CK220" t="s">
        <v>230</v>
      </c>
      <c r="CL220" t="s">
        <v>231</v>
      </c>
      <c r="CM220" t="s">
        <v>232</v>
      </c>
      <c r="CN220" t="s">
        <v>233</v>
      </c>
      <c r="CP220" t="s">
        <v>212</v>
      </c>
      <c r="CQ220" t="s">
        <v>212</v>
      </c>
      <c r="CR220" t="s">
        <v>212</v>
      </c>
      <c r="CS220" t="s">
        <v>212</v>
      </c>
      <c r="CY220" t="s">
        <v>212</v>
      </c>
      <c r="DB220" t="s">
        <v>234</v>
      </c>
      <c r="DE220" t="s">
        <v>212</v>
      </c>
      <c r="DF220" t="s">
        <v>212</v>
      </c>
      <c r="DG220" t="s">
        <v>235</v>
      </c>
      <c r="DH220" t="s">
        <v>212</v>
      </c>
      <c r="DJ220" t="s">
        <v>421</v>
      </c>
      <c r="DK220" t="s">
        <v>422</v>
      </c>
      <c r="DL220" t="s">
        <v>423</v>
      </c>
      <c r="DM220" t="s">
        <v>212</v>
      </c>
      <c r="GB220" t="s">
        <v>206</v>
      </c>
    </row>
    <row r="221" spans="1:184" x14ac:dyDescent="0.3">
      <c r="A221">
        <v>17010790</v>
      </c>
      <c r="B221">
        <v>921011</v>
      </c>
      <c r="C221" t="str">
        <f>"140813601104"</f>
        <v>140813601104</v>
      </c>
      <c r="D221" t="s">
        <v>905</v>
      </c>
      <c r="E221" t="s">
        <v>820</v>
      </c>
      <c r="F221" t="s">
        <v>906</v>
      </c>
      <c r="G221" s="1">
        <v>41864</v>
      </c>
      <c r="I221" t="s">
        <v>199</v>
      </c>
      <c r="J221" t="s">
        <v>200</v>
      </c>
      <c r="K221" t="s">
        <v>201</v>
      </c>
      <c r="Q221" t="s">
        <v>212</v>
      </c>
      <c r="R221" t="str">
        <f>"КАЗАХСТАН, АКМОЛИНСКАЯ, СТЕПНОГОРСК, 80, 29"</f>
        <v>КАЗАХСТАН, АКМОЛИНСКАЯ, СТЕПНОГОРСК, 80, 29</v>
      </c>
      <c r="S221" t="str">
        <f>"ҚАЗАҚСТАН, АҚМОЛА, СТЕПНОГОР, 80, 29"</f>
        <v>ҚАЗАҚСТАН, АҚМОЛА, СТЕПНОГОР, 80, 29</v>
      </c>
      <c r="T221" t="str">
        <f>"80, 29"</f>
        <v>80, 29</v>
      </c>
      <c r="U221" t="str">
        <f>"80, 29"</f>
        <v>80, 29</v>
      </c>
      <c r="AC221" t="str">
        <f>"2020-07-28T15:54:16"</f>
        <v>2020-07-28T15:54:16</v>
      </c>
      <c r="AD221" t="str">
        <f>"95"</f>
        <v>95</v>
      </c>
      <c r="AG221" t="s">
        <v>202</v>
      </c>
      <c r="AI221" t="s">
        <v>299</v>
      </c>
      <c r="AJ221" t="s">
        <v>501</v>
      </c>
      <c r="AK221" t="s">
        <v>261</v>
      </c>
      <c r="AL221" t="s">
        <v>206</v>
      </c>
      <c r="AN221" t="s">
        <v>207</v>
      </c>
      <c r="AO221">
        <v>1</v>
      </c>
      <c r="AP221" t="s">
        <v>208</v>
      </c>
      <c r="AQ221" t="s">
        <v>209</v>
      </c>
      <c r="AR221" t="s">
        <v>502</v>
      </c>
      <c r="AW221" t="s">
        <v>212</v>
      </c>
      <c r="AZ221" t="s">
        <v>209</v>
      </c>
      <c r="BI221" t="s">
        <v>212</v>
      </c>
      <c r="BJ221" t="s">
        <v>213</v>
      </c>
      <c r="BK221" t="s">
        <v>214</v>
      </c>
      <c r="BL221" t="s">
        <v>357</v>
      </c>
      <c r="BN221" t="s">
        <v>216</v>
      </c>
      <c r="BO221" t="s">
        <v>209</v>
      </c>
      <c r="BP221" t="s">
        <v>241</v>
      </c>
      <c r="BQ221">
        <v>4</v>
      </c>
      <c r="BS221" t="s">
        <v>219</v>
      </c>
      <c r="BT221" t="s">
        <v>220</v>
      </c>
      <c r="BU221" t="s">
        <v>206</v>
      </c>
      <c r="BX221" t="s">
        <v>221</v>
      </c>
      <c r="BY221" t="s">
        <v>221</v>
      </c>
      <c r="BZ221" t="s">
        <v>503</v>
      </c>
      <c r="CA221" t="s">
        <v>287</v>
      </c>
      <c r="CC221" t="s">
        <v>224</v>
      </c>
      <c r="CD221" t="s">
        <v>223</v>
      </c>
      <c r="CE221" t="s">
        <v>242</v>
      </c>
      <c r="CJ221" t="s">
        <v>206</v>
      </c>
      <c r="CK221" t="s">
        <v>230</v>
      </c>
      <c r="CL221" t="s">
        <v>231</v>
      </c>
      <c r="CM221" t="s">
        <v>232</v>
      </c>
      <c r="CN221" t="s">
        <v>233</v>
      </c>
      <c r="CP221" t="s">
        <v>212</v>
      </c>
      <c r="CQ221" t="s">
        <v>212</v>
      </c>
      <c r="CR221" t="s">
        <v>212</v>
      </c>
      <c r="CS221" t="s">
        <v>212</v>
      </c>
      <c r="CY221" t="s">
        <v>212</v>
      </c>
      <c r="DB221" t="s">
        <v>234</v>
      </c>
      <c r="DE221" t="s">
        <v>212</v>
      </c>
      <c r="DF221" t="s">
        <v>212</v>
      </c>
      <c r="DG221" t="s">
        <v>235</v>
      </c>
      <c r="DH221" t="s">
        <v>212</v>
      </c>
      <c r="DJ221" t="s">
        <v>236</v>
      </c>
      <c r="DM221" t="s">
        <v>212</v>
      </c>
    </row>
    <row r="222" spans="1:184" x14ac:dyDescent="0.3">
      <c r="A222">
        <v>16973269</v>
      </c>
      <c r="B222">
        <v>920643</v>
      </c>
      <c r="C222" t="str">
        <f>"140917602435"</f>
        <v>140917602435</v>
      </c>
      <c r="D222" t="s">
        <v>907</v>
      </c>
      <c r="E222" t="s">
        <v>908</v>
      </c>
      <c r="F222" t="s">
        <v>909</v>
      </c>
      <c r="G222" s="1">
        <v>41899</v>
      </c>
      <c r="I222" t="s">
        <v>199</v>
      </c>
      <c r="J222" t="s">
        <v>200</v>
      </c>
      <c r="K222" t="s">
        <v>201</v>
      </c>
      <c r="R222" t="str">
        <f>"КАЗАХСТАН, АКМОЛИНСКАЯ, СТЕПНОГОРСК, 83, 43"</f>
        <v>КАЗАХСТАН, АКМОЛИНСКАЯ, СТЕПНОГОРСК, 83, 43</v>
      </c>
      <c r="S222" t="str">
        <f>"ҚАЗАҚСТАН, АҚМОЛА, СТЕПНОГОР, 83, 43"</f>
        <v>ҚАЗАҚСТАН, АҚМОЛА, СТЕПНОГОР, 83, 43</v>
      </c>
      <c r="T222" t="str">
        <f>"83, 43"</f>
        <v>83, 43</v>
      </c>
      <c r="U222" t="str">
        <f>"83, 43"</f>
        <v>83, 43</v>
      </c>
      <c r="AC222" t="str">
        <f>"2020-09-09T21:38:00"</f>
        <v>2020-09-09T21:38:00</v>
      </c>
      <c r="AD222" t="str">
        <f>"5"</f>
        <v>5</v>
      </c>
      <c r="AG222" t="s">
        <v>202</v>
      </c>
      <c r="AI222" t="s">
        <v>269</v>
      </c>
      <c r="AJ222" t="s">
        <v>540</v>
      </c>
      <c r="AK222" t="s">
        <v>246</v>
      </c>
      <c r="AL222" t="s">
        <v>206</v>
      </c>
      <c r="AN222" t="s">
        <v>207</v>
      </c>
      <c r="AO222">
        <v>2</v>
      </c>
      <c r="AP222" t="s">
        <v>208</v>
      </c>
      <c r="AQ222" t="s">
        <v>209</v>
      </c>
      <c r="AR222" t="s">
        <v>502</v>
      </c>
      <c r="AW222" t="s">
        <v>212</v>
      </c>
      <c r="AZ222" t="s">
        <v>209</v>
      </c>
      <c r="BI222" t="s">
        <v>212</v>
      </c>
      <c r="BJ222" t="s">
        <v>213</v>
      </c>
      <c r="BK222" t="s">
        <v>214</v>
      </c>
      <c r="BL222" t="s">
        <v>357</v>
      </c>
      <c r="BN222" t="s">
        <v>216</v>
      </c>
      <c r="BO222" t="s">
        <v>209</v>
      </c>
      <c r="BP222" t="s">
        <v>241</v>
      </c>
      <c r="BQ222">
        <v>4</v>
      </c>
      <c r="BS222" t="s">
        <v>219</v>
      </c>
      <c r="BT222" t="s">
        <v>220</v>
      </c>
      <c r="BU222" t="s">
        <v>206</v>
      </c>
      <c r="BX222" t="s">
        <v>221</v>
      </c>
      <c r="BY222" t="s">
        <v>221</v>
      </c>
      <c r="BZ222" t="s">
        <v>541</v>
      </c>
      <c r="CA222" t="s">
        <v>287</v>
      </c>
      <c r="CC222" t="s">
        <v>222</v>
      </c>
      <c r="CD222" t="s">
        <v>223</v>
      </c>
      <c r="CE222" t="s">
        <v>242</v>
      </c>
      <c r="CJ222" t="s">
        <v>206</v>
      </c>
      <c r="CK222" t="s">
        <v>230</v>
      </c>
      <c r="CL222" t="s">
        <v>231</v>
      </c>
      <c r="CM222" t="s">
        <v>584</v>
      </c>
      <c r="CN222" t="s">
        <v>233</v>
      </c>
      <c r="CP222" t="s">
        <v>212</v>
      </c>
      <c r="CQ222" t="s">
        <v>212</v>
      </c>
      <c r="CR222" t="s">
        <v>212</v>
      </c>
      <c r="CS222" t="s">
        <v>212</v>
      </c>
      <c r="CY222" t="s">
        <v>212</v>
      </c>
      <c r="DB222" t="s">
        <v>234</v>
      </c>
      <c r="DE222" t="s">
        <v>212</v>
      </c>
      <c r="DF222" t="s">
        <v>212</v>
      </c>
      <c r="DG222" t="s">
        <v>235</v>
      </c>
      <c r="DH222" t="s">
        <v>212</v>
      </c>
      <c r="DJ222" t="s">
        <v>236</v>
      </c>
      <c r="DM222" t="s">
        <v>212</v>
      </c>
      <c r="GB222" t="s">
        <v>206</v>
      </c>
    </row>
    <row r="223" spans="1:184" x14ac:dyDescent="0.3">
      <c r="A223">
        <v>16667890</v>
      </c>
      <c r="B223">
        <v>7591</v>
      </c>
      <c r="C223" t="str">
        <f>"120319505022"</f>
        <v>120319505022</v>
      </c>
      <c r="D223" t="s">
        <v>910</v>
      </c>
      <c r="E223" t="s">
        <v>911</v>
      </c>
      <c r="F223" t="s">
        <v>912</v>
      </c>
      <c r="G223" s="1">
        <v>40987</v>
      </c>
      <c r="I223" t="s">
        <v>240</v>
      </c>
      <c r="J223" t="s">
        <v>200</v>
      </c>
      <c r="K223" t="s">
        <v>201</v>
      </c>
      <c r="Q223" t="s">
        <v>212</v>
      </c>
      <c r="R223" t="str">
        <f>"КАЗАХСТАН, АКМОЛИНСКАЯ, СТЕПНОГОРСК, 35, 58"</f>
        <v>КАЗАХСТАН, АКМОЛИНСКАЯ, СТЕПНОГОРСК, 35, 58</v>
      </c>
      <c r="S223" t="str">
        <f>"ҚАЗАҚСТАН, АҚМОЛА, СТЕПНОГОР, 35, 58"</f>
        <v>ҚАЗАҚСТАН, АҚМОЛА, СТЕПНОГОР, 35, 58</v>
      </c>
      <c r="T223" t="str">
        <f>"35, 58"</f>
        <v>35, 58</v>
      </c>
      <c r="U223" t="str">
        <f>"35, 58"</f>
        <v>35, 58</v>
      </c>
      <c r="AC223" t="str">
        <f>"2020-09-16T14:27:00"</f>
        <v>2020-09-16T14:27:00</v>
      </c>
      <c r="AD223" t="str">
        <f>"13"</f>
        <v>13</v>
      </c>
      <c r="AG223" t="s">
        <v>202</v>
      </c>
      <c r="AI223" t="s">
        <v>274</v>
      </c>
      <c r="AJ223" t="s">
        <v>419</v>
      </c>
      <c r="AK223" t="s">
        <v>253</v>
      </c>
      <c r="AL223" t="s">
        <v>206</v>
      </c>
      <c r="AN223" t="s">
        <v>254</v>
      </c>
      <c r="AO223">
        <v>1</v>
      </c>
      <c r="AP223" t="s">
        <v>208</v>
      </c>
      <c r="AQ223" t="s">
        <v>209</v>
      </c>
      <c r="AR223" t="s">
        <v>210</v>
      </c>
      <c r="AW223" t="s">
        <v>206</v>
      </c>
      <c r="AX223" t="s">
        <v>211</v>
      </c>
      <c r="AZ223" t="s">
        <v>209</v>
      </c>
      <c r="BI223" t="s">
        <v>212</v>
      </c>
      <c r="BJ223" t="s">
        <v>213</v>
      </c>
      <c r="BK223" t="s">
        <v>214</v>
      </c>
      <c r="BL223" t="s">
        <v>215</v>
      </c>
      <c r="BN223" t="s">
        <v>216</v>
      </c>
      <c r="BO223" t="s">
        <v>209</v>
      </c>
      <c r="BP223" t="s">
        <v>415</v>
      </c>
      <c r="BQ223" t="s">
        <v>913</v>
      </c>
      <c r="BS223" t="s">
        <v>219</v>
      </c>
      <c r="BT223" t="s">
        <v>220</v>
      </c>
      <c r="BU223" t="s">
        <v>206</v>
      </c>
      <c r="BX223" t="s">
        <v>221</v>
      </c>
      <c r="BY223" t="s">
        <v>221</v>
      </c>
      <c r="CA223" t="s">
        <v>287</v>
      </c>
      <c r="CC223" t="s">
        <v>222</v>
      </c>
      <c r="CD223" t="s">
        <v>223</v>
      </c>
      <c r="CE223" t="s">
        <v>914</v>
      </c>
      <c r="CF223" t="s">
        <v>915</v>
      </c>
      <c r="CG223" t="s">
        <v>916</v>
      </c>
      <c r="CH223" t="s">
        <v>917</v>
      </c>
      <c r="CI223" t="s">
        <v>918</v>
      </c>
      <c r="CJ223" t="s">
        <v>206</v>
      </c>
      <c r="CK223" t="s">
        <v>230</v>
      </c>
      <c r="CL223" t="s">
        <v>231</v>
      </c>
      <c r="CM223" t="s">
        <v>232</v>
      </c>
      <c r="CN223" t="s">
        <v>233</v>
      </c>
      <c r="CP223" t="s">
        <v>212</v>
      </c>
      <c r="CQ223" t="s">
        <v>212</v>
      </c>
      <c r="CR223" t="s">
        <v>212</v>
      </c>
      <c r="CS223" t="s">
        <v>212</v>
      </c>
      <c r="CY223" t="s">
        <v>212</v>
      </c>
      <c r="DB223" t="s">
        <v>234</v>
      </c>
      <c r="DE223" t="s">
        <v>212</v>
      </c>
      <c r="DF223" t="s">
        <v>212</v>
      </c>
      <c r="DG223" t="s">
        <v>235</v>
      </c>
      <c r="DH223" t="s">
        <v>212</v>
      </c>
      <c r="DJ223" t="s">
        <v>236</v>
      </c>
      <c r="DM223" t="s">
        <v>212</v>
      </c>
    </row>
    <row r="224" spans="1:184" x14ac:dyDescent="0.3">
      <c r="A224">
        <v>15964050</v>
      </c>
      <c r="B224">
        <v>6086239</v>
      </c>
      <c r="C224" t="str">
        <f>"090515651228"</f>
        <v>090515651228</v>
      </c>
      <c r="D224" t="s">
        <v>919</v>
      </c>
      <c r="E224" t="s">
        <v>920</v>
      </c>
      <c r="F224" t="s">
        <v>921</v>
      </c>
      <c r="G224" s="1">
        <v>39948</v>
      </c>
      <c r="I224" t="s">
        <v>199</v>
      </c>
      <c r="J224" t="s">
        <v>200</v>
      </c>
      <c r="K224" t="s">
        <v>260</v>
      </c>
      <c r="R224" t="str">
        <f>"АНДОРРА, АСТАНА, САРЫАРКА РАЙОН, 3, 3"</f>
        <v>АНДОРРА, АСТАНА, САРЫАРКА РАЙОН, 3, 3</v>
      </c>
      <c r="S224" t="str">
        <f>"АНДОРРА, АСТАНА, САРЫАРҚА АУДАНЫ, 3, 3"</f>
        <v>АНДОРРА, АСТАНА, САРЫАРҚА АУДАНЫ, 3, 3</v>
      </c>
      <c r="T224" t="str">
        <f>"3, 3"</f>
        <v>3, 3</v>
      </c>
      <c r="U224" t="str">
        <f>"3, 3"</f>
        <v>3, 3</v>
      </c>
      <c r="AC224" t="str">
        <f>"2020-08-10T21:19:00"</f>
        <v>2020-08-10T21:19:00</v>
      </c>
      <c r="AD224" t="str">
        <f>"130"</f>
        <v>130</v>
      </c>
      <c r="AG224" t="s">
        <v>646</v>
      </c>
      <c r="AH224" t="str">
        <f>"yuliya@mail.ru"</f>
        <v>yuliya@mail.ru</v>
      </c>
      <c r="AI224" t="s">
        <v>203</v>
      </c>
      <c r="AJ224" t="s">
        <v>286</v>
      </c>
      <c r="AK224" t="s">
        <v>261</v>
      </c>
      <c r="AL224" t="s">
        <v>206</v>
      </c>
      <c r="AN224" t="s">
        <v>207</v>
      </c>
      <c r="AO224">
        <v>1</v>
      </c>
      <c r="AP224" t="s">
        <v>208</v>
      </c>
      <c r="AQ224" t="s">
        <v>209</v>
      </c>
      <c r="AR224" t="s">
        <v>210</v>
      </c>
      <c r="AW224" t="s">
        <v>206</v>
      </c>
      <c r="AX224" t="s">
        <v>211</v>
      </c>
      <c r="AZ224" t="s">
        <v>209</v>
      </c>
      <c r="BI224" t="s">
        <v>212</v>
      </c>
      <c r="BJ224" t="s">
        <v>213</v>
      </c>
      <c r="BK224" t="s">
        <v>214</v>
      </c>
      <c r="BL224" t="s">
        <v>215</v>
      </c>
      <c r="BN224" t="s">
        <v>216</v>
      </c>
      <c r="BO224" t="s">
        <v>209</v>
      </c>
      <c r="BP224" t="s">
        <v>241</v>
      </c>
      <c r="BQ224">
        <v>4</v>
      </c>
      <c r="BS224" t="s">
        <v>219</v>
      </c>
      <c r="BT224" t="s">
        <v>220</v>
      </c>
      <c r="BU224" t="s">
        <v>206</v>
      </c>
      <c r="BX224" t="s">
        <v>221</v>
      </c>
      <c r="BY224" t="s">
        <v>221</v>
      </c>
      <c r="CA224" t="s">
        <v>287</v>
      </c>
      <c r="CC224" t="s">
        <v>776</v>
      </c>
      <c r="CD224" t="s">
        <v>223</v>
      </c>
      <c r="CE224" t="s">
        <v>342</v>
      </c>
      <c r="CF224" t="s">
        <v>226</v>
      </c>
      <c r="CG224" t="s">
        <v>392</v>
      </c>
      <c r="CH224" t="s">
        <v>228</v>
      </c>
      <c r="CI224" t="s">
        <v>922</v>
      </c>
      <c r="CJ224" t="s">
        <v>206</v>
      </c>
      <c r="CK224" t="s">
        <v>230</v>
      </c>
      <c r="CL224" t="s">
        <v>231</v>
      </c>
      <c r="CM224" t="s">
        <v>232</v>
      </c>
      <c r="CN224" t="s">
        <v>233</v>
      </c>
      <c r="CP224" t="s">
        <v>212</v>
      </c>
      <c r="CQ224" t="s">
        <v>212</v>
      </c>
      <c r="CR224" t="s">
        <v>212</v>
      </c>
      <c r="CS224" t="s">
        <v>212</v>
      </c>
      <c r="CY224" t="s">
        <v>212</v>
      </c>
      <c r="DB224" t="s">
        <v>234</v>
      </c>
      <c r="DE224" t="s">
        <v>212</v>
      </c>
      <c r="DF224" t="s">
        <v>212</v>
      </c>
      <c r="DG224" t="s">
        <v>235</v>
      </c>
      <c r="DH224" t="s">
        <v>212</v>
      </c>
      <c r="DJ224" t="s">
        <v>236</v>
      </c>
      <c r="DM224" t="s">
        <v>212</v>
      </c>
    </row>
    <row r="225" spans="1:184" x14ac:dyDescent="0.3">
      <c r="A225">
        <v>15963352</v>
      </c>
      <c r="B225">
        <v>179701</v>
      </c>
      <c r="C225" t="str">
        <f>"130531601546"</f>
        <v>130531601546</v>
      </c>
      <c r="D225" t="s">
        <v>923</v>
      </c>
      <c r="E225" t="s">
        <v>924</v>
      </c>
      <c r="F225" t="s">
        <v>925</v>
      </c>
      <c r="G225" s="1">
        <v>41425</v>
      </c>
      <c r="I225" t="s">
        <v>199</v>
      </c>
      <c r="J225" t="s">
        <v>200</v>
      </c>
      <c r="K225" t="s">
        <v>201</v>
      </c>
      <c r="Q225" t="s">
        <v>212</v>
      </c>
      <c r="R225" t="str">
        <f>"КАЗАХСТАН, АКМОЛИНСКАЯ, СТЕПНОГОРСК, 7"</f>
        <v>КАЗАХСТАН, АКМОЛИНСКАЯ, СТЕПНОГОРСК, 7</v>
      </c>
      <c r="S225" t="str">
        <f>"ҚАЗАҚСТАН, АҚМОЛА, СТЕПНОГОР, 7"</f>
        <v>ҚАЗАҚСТАН, АҚМОЛА, СТЕПНОГОР, 7</v>
      </c>
      <c r="T225" t="str">
        <f>"7"</f>
        <v>7</v>
      </c>
      <c r="U225" t="str">
        <f>"7"</f>
        <v>7</v>
      </c>
      <c r="AC225" t="str">
        <f>"2020-08-24T20:43:00"</f>
        <v>2020-08-24T20:43:00</v>
      </c>
      <c r="AD225" t="str">
        <f>"145"</f>
        <v>145</v>
      </c>
      <c r="AE225" t="str">
        <f>"2023-09-01T17:14:56"</f>
        <v>2023-09-01T17:14:56</v>
      </c>
      <c r="AF225" t="str">
        <f>"2024-05-25T17:14:56"</f>
        <v>2024-05-25T17:14:56</v>
      </c>
      <c r="AG225" t="s">
        <v>202</v>
      </c>
      <c r="AI225" t="s">
        <v>299</v>
      </c>
      <c r="AJ225" t="s">
        <v>501</v>
      </c>
      <c r="AK225" t="s">
        <v>205</v>
      </c>
      <c r="AL225" t="s">
        <v>206</v>
      </c>
      <c r="AN225" t="s">
        <v>207</v>
      </c>
      <c r="AO225">
        <v>1</v>
      </c>
      <c r="AP225" t="s">
        <v>208</v>
      </c>
      <c r="AQ225" t="s">
        <v>209</v>
      </c>
      <c r="AR225" t="s">
        <v>502</v>
      </c>
      <c r="AW225" t="s">
        <v>212</v>
      </c>
      <c r="AZ225" t="s">
        <v>209</v>
      </c>
      <c r="BI225" t="s">
        <v>212</v>
      </c>
      <c r="BJ225" t="s">
        <v>213</v>
      </c>
      <c r="BK225" t="s">
        <v>214</v>
      </c>
      <c r="BL225" t="s">
        <v>357</v>
      </c>
      <c r="BN225" t="s">
        <v>247</v>
      </c>
      <c r="BO225" t="s">
        <v>209</v>
      </c>
      <c r="BP225" t="s">
        <v>415</v>
      </c>
      <c r="BQ225" t="s">
        <v>416</v>
      </c>
      <c r="BS225" t="s">
        <v>219</v>
      </c>
      <c r="BT225" t="s">
        <v>220</v>
      </c>
      <c r="BU225" t="s">
        <v>206</v>
      </c>
      <c r="BX225" t="s">
        <v>221</v>
      </c>
      <c r="BY225" t="s">
        <v>221</v>
      </c>
      <c r="BZ225" t="s">
        <v>503</v>
      </c>
      <c r="CA225" t="s">
        <v>287</v>
      </c>
      <c r="CC225" t="s">
        <v>222</v>
      </c>
      <c r="CD225" t="s">
        <v>223</v>
      </c>
      <c r="CE225" t="s">
        <v>242</v>
      </c>
      <c r="CJ225" t="s">
        <v>206</v>
      </c>
      <c r="CK225" t="s">
        <v>230</v>
      </c>
      <c r="CL225" t="s">
        <v>231</v>
      </c>
      <c r="CM225" t="s">
        <v>232</v>
      </c>
      <c r="CN225" t="s">
        <v>233</v>
      </c>
      <c r="CP225" t="s">
        <v>212</v>
      </c>
      <c r="CQ225" t="s">
        <v>212</v>
      </c>
      <c r="CR225" t="s">
        <v>212</v>
      </c>
      <c r="CS225" t="s">
        <v>212</v>
      </c>
      <c r="CY225" t="s">
        <v>212</v>
      </c>
      <c r="DB225" t="s">
        <v>234</v>
      </c>
      <c r="DE225" t="s">
        <v>212</v>
      </c>
      <c r="DF225" t="s">
        <v>212</v>
      </c>
      <c r="DG225" t="s">
        <v>235</v>
      </c>
      <c r="DH225" t="s">
        <v>212</v>
      </c>
      <c r="DJ225" t="s">
        <v>421</v>
      </c>
      <c r="DK225" t="s">
        <v>422</v>
      </c>
      <c r="DL225" t="s">
        <v>423</v>
      </c>
      <c r="DM225" t="s">
        <v>206</v>
      </c>
    </row>
    <row r="226" spans="1:184" x14ac:dyDescent="0.3">
      <c r="A226">
        <v>22879029</v>
      </c>
      <c r="B226">
        <v>12685264</v>
      </c>
      <c r="C226" t="str">
        <f>"160404604119"</f>
        <v>160404604119</v>
      </c>
      <c r="D226" t="s">
        <v>926</v>
      </c>
      <c r="E226" t="s">
        <v>927</v>
      </c>
      <c r="F226" t="s">
        <v>928</v>
      </c>
      <c r="G226" s="1">
        <v>42464</v>
      </c>
      <c r="I226" t="s">
        <v>199</v>
      </c>
      <c r="J226" t="s">
        <v>200</v>
      </c>
      <c r="K226" t="s">
        <v>201</v>
      </c>
      <c r="Q226" t="s">
        <v>212</v>
      </c>
      <c r="R226" t="str">
        <f>"КАЗАХСТАН, АКМОЛИНСКАЯ, ЕРЕЙМЕНТАУСКИЙ РАЙОН, СЕЛЕТА, 5, 2"</f>
        <v>КАЗАХСТАН, АКМОЛИНСКАЯ, ЕРЕЙМЕНТАУСКИЙ РАЙОН, СЕЛЕТА, 5, 2</v>
      </c>
      <c r="S226" t="str">
        <f>"ҚАЗАҚСТАН, АҚМОЛА, ЕРЕЙМЕНТАУ АУДАНЫ, СЕЛЕТА, 5, 2"</f>
        <v>ҚАЗАҚСТАН, АҚМОЛА, ЕРЕЙМЕНТАУ АУДАНЫ, СЕЛЕТА, 5, 2</v>
      </c>
      <c r="T226" t="str">
        <f>"СЕЛЕТА, 5, 2"</f>
        <v>СЕЛЕТА, 5, 2</v>
      </c>
      <c r="U226" t="str">
        <f>"СЕЛЕТА, 5, 2"</f>
        <v>СЕЛЕТА, 5, 2</v>
      </c>
      <c r="AC226" t="str">
        <f>"2022-08-25T00:00:00"</f>
        <v>2022-08-25T00:00:00</v>
      </c>
      <c r="AD226" t="str">
        <f>"201"</f>
        <v>201</v>
      </c>
      <c r="AG226" t="s">
        <v>202</v>
      </c>
      <c r="AI226" t="s">
        <v>269</v>
      </c>
      <c r="AJ226" t="s">
        <v>660</v>
      </c>
      <c r="AK226" t="s">
        <v>434</v>
      </c>
      <c r="AL226" t="s">
        <v>206</v>
      </c>
      <c r="AN226" t="s">
        <v>254</v>
      </c>
      <c r="AO226">
        <v>1</v>
      </c>
      <c r="AP226" t="s">
        <v>208</v>
      </c>
      <c r="AQ226" t="s">
        <v>209</v>
      </c>
      <c r="AR226" t="s">
        <v>502</v>
      </c>
      <c r="AW226" t="s">
        <v>212</v>
      </c>
      <c r="AZ226" t="s">
        <v>209</v>
      </c>
      <c r="BI226" t="s">
        <v>212</v>
      </c>
      <c r="BJ226" t="s">
        <v>213</v>
      </c>
      <c r="BK226" t="s">
        <v>214</v>
      </c>
      <c r="BL226" t="s">
        <v>357</v>
      </c>
      <c r="BN226" t="s">
        <v>661</v>
      </c>
      <c r="BO226" t="s">
        <v>209</v>
      </c>
      <c r="BS226" t="s">
        <v>220</v>
      </c>
      <c r="BU226" t="s">
        <v>212</v>
      </c>
      <c r="BZ226" t="s">
        <v>662</v>
      </c>
      <c r="CA226" t="s">
        <v>287</v>
      </c>
      <c r="CC226" t="s">
        <v>209</v>
      </c>
      <c r="CE226" t="s">
        <v>242</v>
      </c>
      <c r="CJ226" t="s">
        <v>206</v>
      </c>
      <c r="CK226" t="s">
        <v>230</v>
      </c>
      <c r="CL226" t="s">
        <v>231</v>
      </c>
      <c r="CM226" t="s">
        <v>232</v>
      </c>
      <c r="CN226" t="s">
        <v>233</v>
      </c>
      <c r="CP226" t="s">
        <v>212</v>
      </c>
      <c r="CQ226" t="s">
        <v>212</v>
      </c>
      <c r="CR226" t="s">
        <v>212</v>
      </c>
      <c r="CS226" t="s">
        <v>212</v>
      </c>
      <c r="CY226" t="s">
        <v>212</v>
      </c>
      <c r="DB226" t="s">
        <v>234</v>
      </c>
      <c r="DE226" t="s">
        <v>212</v>
      </c>
      <c r="DF226" t="s">
        <v>212</v>
      </c>
      <c r="DG226" t="s">
        <v>235</v>
      </c>
      <c r="DH226" t="s">
        <v>212</v>
      </c>
      <c r="DJ226" t="s">
        <v>236</v>
      </c>
      <c r="DM226" t="s">
        <v>212</v>
      </c>
    </row>
    <row r="227" spans="1:184" x14ac:dyDescent="0.3">
      <c r="A227">
        <v>15909312</v>
      </c>
      <c r="B227">
        <v>769331</v>
      </c>
      <c r="C227" t="str">
        <f>"140712602004"</f>
        <v>140712602004</v>
      </c>
      <c r="D227" t="s">
        <v>929</v>
      </c>
      <c r="E227" t="s">
        <v>930</v>
      </c>
      <c r="F227" t="s">
        <v>574</v>
      </c>
      <c r="G227" s="1">
        <v>41832</v>
      </c>
      <c r="I227" t="s">
        <v>199</v>
      </c>
      <c r="J227" t="s">
        <v>200</v>
      </c>
      <c r="K227" t="s">
        <v>260</v>
      </c>
      <c r="R227" t="str">
        <f>"КАЗАХСТАН, АКМОЛИНСКАЯ, СТЕПНОГОРСК, 18, 29"</f>
        <v>КАЗАХСТАН, АКМОЛИНСКАЯ, СТЕПНОГОРСК, 18, 29</v>
      </c>
      <c r="S227" t="str">
        <f>"ҚАЗАҚСТАН, АҚМОЛА, СТЕПНОГОР, 18, 29"</f>
        <v>ҚАЗАҚСТАН, АҚМОЛА, СТЕПНОГОР, 18, 29</v>
      </c>
      <c r="T227" t="str">
        <f>"18, 29"</f>
        <v>18, 29</v>
      </c>
      <c r="U227" t="str">
        <f>"18, 29"</f>
        <v>18, 29</v>
      </c>
      <c r="AC227" t="str">
        <f>"2020-08-27T21:43:00"</f>
        <v>2020-08-27T21:43:00</v>
      </c>
      <c r="AD227" t="str">
        <f>"1"</f>
        <v>1</v>
      </c>
      <c r="AG227" t="s">
        <v>202</v>
      </c>
      <c r="AI227" t="s">
        <v>203</v>
      </c>
      <c r="AJ227" t="s">
        <v>540</v>
      </c>
      <c r="AK227" t="s">
        <v>261</v>
      </c>
      <c r="AL227" t="s">
        <v>206</v>
      </c>
      <c r="AN227" t="s">
        <v>207</v>
      </c>
      <c r="AO227">
        <v>2</v>
      </c>
      <c r="AP227" t="s">
        <v>208</v>
      </c>
      <c r="AQ227" t="s">
        <v>209</v>
      </c>
      <c r="AR227" t="s">
        <v>502</v>
      </c>
      <c r="AW227" t="s">
        <v>212</v>
      </c>
      <c r="AZ227" t="s">
        <v>209</v>
      </c>
      <c r="BI227" t="s">
        <v>212</v>
      </c>
      <c r="BJ227" t="s">
        <v>213</v>
      </c>
      <c r="BK227" t="s">
        <v>214</v>
      </c>
      <c r="BL227" t="s">
        <v>357</v>
      </c>
      <c r="BN227" t="s">
        <v>281</v>
      </c>
      <c r="BO227" t="s">
        <v>209</v>
      </c>
      <c r="BP227" t="s">
        <v>241</v>
      </c>
      <c r="BQ227">
        <v>5</v>
      </c>
      <c r="BS227" t="s">
        <v>219</v>
      </c>
      <c r="BT227" t="s">
        <v>220</v>
      </c>
      <c r="BU227" t="s">
        <v>212</v>
      </c>
      <c r="BX227" t="s">
        <v>221</v>
      </c>
      <c r="BY227" t="s">
        <v>221</v>
      </c>
      <c r="BZ227" t="s">
        <v>541</v>
      </c>
      <c r="CA227" t="s">
        <v>287</v>
      </c>
      <c r="CC227" t="s">
        <v>224</v>
      </c>
      <c r="CD227" t="s">
        <v>223</v>
      </c>
      <c r="CE227" t="s">
        <v>242</v>
      </c>
      <c r="CJ227" t="s">
        <v>206</v>
      </c>
      <c r="CK227" t="s">
        <v>230</v>
      </c>
      <c r="CL227" t="s">
        <v>231</v>
      </c>
      <c r="CM227" t="s">
        <v>232</v>
      </c>
      <c r="CN227" t="s">
        <v>233</v>
      </c>
      <c r="CP227" t="s">
        <v>212</v>
      </c>
      <c r="CQ227" t="s">
        <v>212</v>
      </c>
      <c r="CR227" t="s">
        <v>212</v>
      </c>
      <c r="CS227" t="s">
        <v>212</v>
      </c>
      <c r="CY227" t="s">
        <v>212</v>
      </c>
      <c r="DB227" t="s">
        <v>234</v>
      </c>
      <c r="DE227" t="s">
        <v>212</v>
      </c>
      <c r="DF227" t="s">
        <v>212</v>
      </c>
      <c r="DG227" t="s">
        <v>235</v>
      </c>
      <c r="DH227" t="s">
        <v>212</v>
      </c>
      <c r="DJ227" t="s">
        <v>236</v>
      </c>
      <c r="DM227" t="s">
        <v>212</v>
      </c>
    </row>
    <row r="228" spans="1:184" x14ac:dyDescent="0.3">
      <c r="A228">
        <v>15785781</v>
      </c>
      <c r="B228">
        <v>763432</v>
      </c>
      <c r="C228" t="str">
        <f>"130402604261"</f>
        <v>130402604261</v>
      </c>
      <c r="D228" t="s">
        <v>784</v>
      </c>
      <c r="E228" t="s">
        <v>931</v>
      </c>
      <c r="F228" t="s">
        <v>786</v>
      </c>
      <c r="G228" s="1">
        <v>41366</v>
      </c>
      <c r="I228" t="s">
        <v>199</v>
      </c>
      <c r="J228" t="s">
        <v>200</v>
      </c>
      <c r="K228" t="s">
        <v>201</v>
      </c>
      <c r="Q228" t="s">
        <v>212</v>
      </c>
      <c r="R228" t="str">
        <f>"КАЗАХСТАН, АКМОЛИНСКАЯ, СТЕПНОГОРСК, Заводской, 19, 2"</f>
        <v>КАЗАХСТАН, АКМОЛИНСКАЯ, СТЕПНОГОРСК, Заводской, 19, 2</v>
      </c>
      <c r="S228" t="str">
        <f>"ҚАЗАҚСТАН, АҚМОЛА, СТЕПНОГОР, Заводской, 19, 2"</f>
        <v>ҚАЗАҚСТАН, АҚМОЛА, СТЕПНОГОР, Заводской, 19, 2</v>
      </c>
      <c r="T228" t="str">
        <f>"Заводской, 19, 2"</f>
        <v>Заводской, 19, 2</v>
      </c>
      <c r="U228" t="str">
        <f>"Заводской, 19, 2"</f>
        <v>Заводской, 19, 2</v>
      </c>
      <c r="AC228" t="str">
        <f>"2020-06-15T19:34:00"</f>
        <v>2020-06-15T19:34:00</v>
      </c>
      <c r="AD228" t="str">
        <f>"93"</f>
        <v>93</v>
      </c>
      <c r="AG228" t="s">
        <v>202</v>
      </c>
      <c r="AI228" t="s">
        <v>203</v>
      </c>
      <c r="AJ228" t="s">
        <v>501</v>
      </c>
      <c r="AK228" t="s">
        <v>261</v>
      </c>
      <c r="AL228" t="s">
        <v>206</v>
      </c>
      <c r="AN228" t="s">
        <v>207</v>
      </c>
      <c r="AO228">
        <v>1</v>
      </c>
      <c r="AP228" t="s">
        <v>208</v>
      </c>
      <c r="AQ228" t="s">
        <v>209</v>
      </c>
      <c r="AR228" t="s">
        <v>502</v>
      </c>
      <c r="AW228" t="s">
        <v>212</v>
      </c>
      <c r="AZ228" t="s">
        <v>209</v>
      </c>
      <c r="BI228" t="s">
        <v>212</v>
      </c>
      <c r="BJ228" t="s">
        <v>213</v>
      </c>
      <c r="BK228" t="s">
        <v>214</v>
      </c>
      <c r="BL228" t="s">
        <v>357</v>
      </c>
      <c r="BN228" t="s">
        <v>216</v>
      </c>
      <c r="BO228" t="s">
        <v>209</v>
      </c>
      <c r="BP228" t="s">
        <v>415</v>
      </c>
      <c r="BQ228" t="s">
        <v>673</v>
      </c>
      <c r="BS228" t="s">
        <v>219</v>
      </c>
      <c r="BT228" t="s">
        <v>220</v>
      </c>
      <c r="BU228" t="s">
        <v>206</v>
      </c>
      <c r="BX228" t="s">
        <v>221</v>
      </c>
      <c r="BY228" t="s">
        <v>221</v>
      </c>
      <c r="BZ228" t="s">
        <v>503</v>
      </c>
      <c r="CA228" t="s">
        <v>287</v>
      </c>
      <c r="CC228" t="s">
        <v>222</v>
      </c>
      <c r="CD228" t="s">
        <v>223</v>
      </c>
      <c r="CE228" t="s">
        <v>242</v>
      </c>
      <c r="CJ228" t="s">
        <v>206</v>
      </c>
      <c r="CK228" t="s">
        <v>230</v>
      </c>
      <c r="CL228" t="s">
        <v>231</v>
      </c>
      <c r="CM228" t="s">
        <v>232</v>
      </c>
      <c r="CN228" t="s">
        <v>233</v>
      </c>
      <c r="CP228" t="s">
        <v>212</v>
      </c>
      <c r="CQ228" t="s">
        <v>212</v>
      </c>
      <c r="CR228" t="s">
        <v>212</v>
      </c>
      <c r="CS228" t="s">
        <v>212</v>
      </c>
      <c r="CY228" t="s">
        <v>212</v>
      </c>
      <c r="DB228" t="s">
        <v>234</v>
      </c>
      <c r="DE228" t="s">
        <v>212</v>
      </c>
      <c r="DF228" t="s">
        <v>212</v>
      </c>
      <c r="DG228" t="s">
        <v>235</v>
      </c>
      <c r="DH228" t="s">
        <v>212</v>
      </c>
      <c r="DJ228" t="s">
        <v>236</v>
      </c>
      <c r="DM228" t="s">
        <v>212</v>
      </c>
    </row>
    <row r="229" spans="1:184" x14ac:dyDescent="0.3">
      <c r="A229">
        <v>15785263</v>
      </c>
      <c r="B229">
        <v>767634</v>
      </c>
      <c r="C229" t="str">
        <f>"140118501040"</f>
        <v>140118501040</v>
      </c>
      <c r="D229" t="s">
        <v>932</v>
      </c>
      <c r="E229" t="s">
        <v>903</v>
      </c>
      <c r="F229" t="s">
        <v>521</v>
      </c>
      <c r="G229" s="1">
        <v>41657</v>
      </c>
      <c r="I229" t="s">
        <v>240</v>
      </c>
      <c r="J229" t="s">
        <v>200</v>
      </c>
      <c r="K229" t="s">
        <v>260</v>
      </c>
      <c r="Q229" t="s">
        <v>212</v>
      </c>
      <c r="R229" t="str">
        <f>"КАЗАХСТАН, АКМОЛИНСКАЯ, СТЕПНОГОРСК, 44, 17"</f>
        <v>КАЗАХСТАН, АКМОЛИНСКАЯ, СТЕПНОГОРСК, 44, 17</v>
      </c>
      <c r="S229" t="str">
        <f>"ҚАЗАҚСТАН, АҚМОЛА, СТЕПНОГОР, 44, 17"</f>
        <v>ҚАЗАҚСТАН, АҚМОЛА, СТЕПНОГОР, 44, 17</v>
      </c>
      <c r="T229" t="str">
        <f>"44, 17"</f>
        <v>44, 17</v>
      </c>
      <c r="U229" t="str">
        <f>"44, 17"</f>
        <v>44, 17</v>
      </c>
      <c r="AC229" t="str">
        <f>"2020-07-10T19:28:00"</f>
        <v>2020-07-10T19:28:00</v>
      </c>
      <c r="AD229" t="str">
        <f>"109"</f>
        <v>109</v>
      </c>
      <c r="AG229" t="s">
        <v>202</v>
      </c>
      <c r="AI229" t="s">
        <v>203</v>
      </c>
      <c r="AJ229" t="s">
        <v>501</v>
      </c>
      <c r="AK229" t="s">
        <v>205</v>
      </c>
      <c r="AL229" t="s">
        <v>206</v>
      </c>
      <c r="AN229" t="s">
        <v>207</v>
      </c>
      <c r="AO229">
        <v>1</v>
      </c>
      <c r="AP229" t="s">
        <v>208</v>
      </c>
      <c r="AQ229" t="s">
        <v>209</v>
      </c>
      <c r="AR229" t="s">
        <v>502</v>
      </c>
      <c r="AW229" t="s">
        <v>212</v>
      </c>
      <c r="AZ229" t="s">
        <v>209</v>
      </c>
      <c r="BI229" t="s">
        <v>212</v>
      </c>
      <c r="BJ229" t="s">
        <v>213</v>
      </c>
      <c r="BK229" t="s">
        <v>214</v>
      </c>
      <c r="BL229" t="s">
        <v>357</v>
      </c>
      <c r="BN229" t="s">
        <v>216</v>
      </c>
      <c r="BO229" t="s">
        <v>209</v>
      </c>
      <c r="BP229" t="s">
        <v>241</v>
      </c>
      <c r="BQ229">
        <v>4</v>
      </c>
      <c r="BS229" t="s">
        <v>219</v>
      </c>
      <c r="BT229" t="s">
        <v>220</v>
      </c>
      <c r="BU229" t="s">
        <v>206</v>
      </c>
      <c r="BX229" t="s">
        <v>221</v>
      </c>
      <c r="BY229" t="s">
        <v>221</v>
      </c>
      <c r="BZ229" t="s">
        <v>503</v>
      </c>
      <c r="CA229" t="s">
        <v>287</v>
      </c>
      <c r="CC229" t="s">
        <v>222</v>
      </c>
      <c r="CD229" t="s">
        <v>223</v>
      </c>
      <c r="CE229" t="s">
        <v>242</v>
      </c>
      <c r="CJ229" t="s">
        <v>206</v>
      </c>
      <c r="CK229" t="s">
        <v>230</v>
      </c>
      <c r="CL229" t="s">
        <v>231</v>
      </c>
      <c r="CM229" t="s">
        <v>232</v>
      </c>
      <c r="CN229" t="s">
        <v>233</v>
      </c>
      <c r="CP229" t="s">
        <v>212</v>
      </c>
      <c r="CQ229" t="s">
        <v>212</v>
      </c>
      <c r="CR229" t="s">
        <v>212</v>
      </c>
      <c r="CS229" t="s">
        <v>212</v>
      </c>
      <c r="CY229" t="s">
        <v>212</v>
      </c>
      <c r="DB229" t="s">
        <v>234</v>
      </c>
      <c r="DE229" t="s">
        <v>212</v>
      </c>
      <c r="DF229" t="s">
        <v>212</v>
      </c>
      <c r="DG229" t="s">
        <v>235</v>
      </c>
      <c r="DH229" t="s">
        <v>212</v>
      </c>
      <c r="DJ229" t="s">
        <v>236</v>
      </c>
      <c r="DM229" t="s">
        <v>212</v>
      </c>
    </row>
    <row r="230" spans="1:184" x14ac:dyDescent="0.3">
      <c r="A230">
        <v>15760815</v>
      </c>
      <c r="B230">
        <v>9758888</v>
      </c>
      <c r="C230" t="str">
        <f>"140312604889"</f>
        <v>140312604889</v>
      </c>
      <c r="D230" t="s">
        <v>536</v>
      </c>
      <c r="E230" t="s">
        <v>933</v>
      </c>
      <c r="F230" t="s">
        <v>368</v>
      </c>
      <c r="G230" s="1">
        <v>41710</v>
      </c>
      <c r="I230" t="s">
        <v>199</v>
      </c>
      <c r="J230" t="s">
        <v>200</v>
      </c>
      <c r="K230" t="s">
        <v>201</v>
      </c>
      <c r="R230" t="str">
        <f>"КАЗАХСТАН, АКМОЛИНСКАЯ, СТЕПНОГОРСК, 6"</f>
        <v>КАЗАХСТАН, АКМОЛИНСКАЯ, СТЕПНОГОРСК, 6</v>
      </c>
      <c r="S230" t="str">
        <f>"ҚАЗАҚСТАН, АҚМОЛА, СТЕПНОГОР, 6"</f>
        <v>ҚАЗАҚСТАН, АҚМОЛА, СТЕПНОГОР, 6</v>
      </c>
      <c r="T230" t="str">
        <f>"6"</f>
        <v>6</v>
      </c>
      <c r="U230" t="str">
        <f>"6"</f>
        <v>6</v>
      </c>
      <c r="AC230" t="str">
        <f>"2020-08-25T00:00:00"</f>
        <v>2020-08-25T00:00:00</v>
      </c>
      <c r="AD230" t="str">
        <f>"145"</f>
        <v>145</v>
      </c>
      <c r="AE230" t="str">
        <f>"2023-09-01T17:11:20"</f>
        <v>2023-09-01T17:11:20</v>
      </c>
      <c r="AF230" t="str">
        <f>"2024-05-25T17:11:20"</f>
        <v>2024-05-25T17:11:20</v>
      </c>
      <c r="AG230" t="s">
        <v>202</v>
      </c>
      <c r="AI230" t="s">
        <v>203</v>
      </c>
      <c r="AJ230" t="s">
        <v>540</v>
      </c>
      <c r="AK230" t="s">
        <v>246</v>
      </c>
      <c r="AL230" t="s">
        <v>206</v>
      </c>
      <c r="AN230" t="s">
        <v>207</v>
      </c>
      <c r="AO230">
        <v>2</v>
      </c>
      <c r="AP230" t="s">
        <v>208</v>
      </c>
      <c r="AQ230" t="s">
        <v>209</v>
      </c>
      <c r="AR230" t="s">
        <v>262</v>
      </c>
      <c r="AW230" t="s">
        <v>206</v>
      </c>
      <c r="AX230" t="s">
        <v>211</v>
      </c>
      <c r="AZ230" t="s">
        <v>209</v>
      </c>
      <c r="BI230" t="s">
        <v>212</v>
      </c>
      <c r="BJ230" t="s">
        <v>213</v>
      </c>
      <c r="BK230" t="s">
        <v>214</v>
      </c>
      <c r="BL230" t="s">
        <v>357</v>
      </c>
      <c r="BN230" t="s">
        <v>247</v>
      </c>
      <c r="BO230" t="s">
        <v>209</v>
      </c>
      <c r="BP230" t="s">
        <v>241</v>
      </c>
      <c r="BQ230">
        <v>3</v>
      </c>
      <c r="BS230" t="s">
        <v>219</v>
      </c>
      <c r="BT230" t="s">
        <v>220</v>
      </c>
      <c r="BU230" t="s">
        <v>206</v>
      </c>
      <c r="BX230" t="s">
        <v>221</v>
      </c>
      <c r="BY230" t="s">
        <v>221</v>
      </c>
      <c r="BZ230" t="s">
        <v>541</v>
      </c>
      <c r="CA230" t="s">
        <v>287</v>
      </c>
      <c r="CC230" t="s">
        <v>222</v>
      </c>
      <c r="CD230" t="s">
        <v>223</v>
      </c>
      <c r="CE230" t="s">
        <v>242</v>
      </c>
      <c r="CJ230" t="s">
        <v>206</v>
      </c>
      <c r="CK230" t="s">
        <v>230</v>
      </c>
      <c r="CL230" t="s">
        <v>231</v>
      </c>
      <c r="CM230" t="s">
        <v>232</v>
      </c>
      <c r="CN230" t="s">
        <v>233</v>
      </c>
      <c r="CP230" t="s">
        <v>212</v>
      </c>
      <c r="CQ230" t="s">
        <v>212</v>
      </c>
      <c r="CR230" t="s">
        <v>212</v>
      </c>
      <c r="CS230" t="s">
        <v>212</v>
      </c>
      <c r="CY230" t="s">
        <v>212</v>
      </c>
      <c r="DB230" t="s">
        <v>653</v>
      </c>
      <c r="DC230" t="str">
        <f>"№349 Трудности формирование  чтения  и письма. Фонетико-фонематическое недоразвитие. Заикание"</f>
        <v>№349 Трудности формирование  чтения  и письма. Фонетико-фонематическое недоразвитие. Заикание</v>
      </c>
      <c r="DD230" t="str">
        <f>"2023-04-25T00:00:00"</f>
        <v>2023-04-25T00:00:00</v>
      </c>
      <c r="DE230" t="s">
        <v>212</v>
      </c>
      <c r="DF230" t="s">
        <v>206</v>
      </c>
      <c r="DG230" t="s">
        <v>235</v>
      </c>
      <c r="DH230" t="s">
        <v>212</v>
      </c>
      <c r="DJ230" t="s">
        <v>421</v>
      </c>
      <c r="DK230" t="s">
        <v>422</v>
      </c>
      <c r="DL230" t="s">
        <v>423</v>
      </c>
      <c r="DM230" t="s">
        <v>206</v>
      </c>
    </row>
    <row r="231" spans="1:184" x14ac:dyDescent="0.3">
      <c r="A231">
        <v>22879105</v>
      </c>
      <c r="B231">
        <v>7299653</v>
      </c>
      <c r="C231" t="str">
        <f>"160607502576"</f>
        <v>160607502576</v>
      </c>
      <c r="D231" t="s">
        <v>934</v>
      </c>
      <c r="E231" t="s">
        <v>935</v>
      </c>
      <c r="F231" t="s">
        <v>936</v>
      </c>
      <c r="G231" s="1">
        <v>42528</v>
      </c>
      <c r="I231" t="s">
        <v>240</v>
      </c>
      <c r="J231" t="s">
        <v>200</v>
      </c>
      <c r="K231" t="s">
        <v>201</v>
      </c>
      <c r="R231" t="str">
        <f>"КАЗАХСТАН, АКМОЛИНСКАЯ, СТЕПНОГОРСК, 45, 36"</f>
        <v>КАЗАХСТАН, АКМОЛИНСКАЯ, СТЕПНОГОРСК, 45, 36</v>
      </c>
      <c r="S231" t="str">
        <f>"ҚАЗАҚСТАН, АҚМОЛА, СТЕПНОГОР, 45, 36"</f>
        <v>ҚАЗАҚСТАН, АҚМОЛА, СТЕПНОГОР, 45, 36</v>
      </c>
      <c r="T231" t="str">
        <f>"45, 36"</f>
        <v>45, 36</v>
      </c>
      <c r="U231" t="str">
        <f>"45, 36"</f>
        <v>45, 36</v>
      </c>
      <c r="AC231" t="str">
        <f>"2022-08-25T00:00:00"</f>
        <v>2022-08-25T00:00:00</v>
      </c>
      <c r="AD231" t="str">
        <f>"201"</f>
        <v>201</v>
      </c>
      <c r="AG231" t="s">
        <v>202</v>
      </c>
      <c r="AI231" t="s">
        <v>269</v>
      </c>
      <c r="AJ231" t="s">
        <v>660</v>
      </c>
      <c r="AK231" t="s">
        <v>246</v>
      </c>
      <c r="AL231" t="s">
        <v>206</v>
      </c>
      <c r="AN231" t="s">
        <v>207</v>
      </c>
      <c r="AO231">
        <v>1</v>
      </c>
      <c r="AP231" t="s">
        <v>208</v>
      </c>
      <c r="AQ231" t="s">
        <v>209</v>
      </c>
      <c r="AR231" t="s">
        <v>502</v>
      </c>
      <c r="AW231" t="s">
        <v>212</v>
      </c>
      <c r="AZ231" t="s">
        <v>209</v>
      </c>
      <c r="BI231" t="s">
        <v>212</v>
      </c>
      <c r="BJ231" t="s">
        <v>213</v>
      </c>
      <c r="BK231" t="s">
        <v>214</v>
      </c>
      <c r="BL231" t="s">
        <v>357</v>
      </c>
      <c r="BN231" t="s">
        <v>661</v>
      </c>
      <c r="BO231" t="s">
        <v>209</v>
      </c>
      <c r="BS231" t="s">
        <v>220</v>
      </c>
      <c r="BU231" t="s">
        <v>212</v>
      </c>
      <c r="BZ231" t="s">
        <v>662</v>
      </c>
      <c r="CA231" t="s">
        <v>287</v>
      </c>
      <c r="CC231" t="s">
        <v>209</v>
      </c>
      <c r="CE231" t="s">
        <v>242</v>
      </c>
      <c r="CJ231" t="s">
        <v>206</v>
      </c>
      <c r="CK231" t="s">
        <v>230</v>
      </c>
      <c r="CL231" t="s">
        <v>231</v>
      </c>
      <c r="CM231" t="s">
        <v>232</v>
      </c>
      <c r="CN231" t="s">
        <v>233</v>
      </c>
      <c r="CP231" t="s">
        <v>212</v>
      </c>
      <c r="CQ231" t="s">
        <v>212</v>
      </c>
      <c r="CR231" t="s">
        <v>212</v>
      </c>
      <c r="CS231" t="s">
        <v>212</v>
      </c>
      <c r="CY231" t="s">
        <v>212</v>
      </c>
      <c r="DB231" t="s">
        <v>234</v>
      </c>
      <c r="DE231" t="s">
        <v>212</v>
      </c>
      <c r="DF231" t="s">
        <v>212</v>
      </c>
      <c r="DG231" t="s">
        <v>235</v>
      </c>
      <c r="DH231" t="s">
        <v>212</v>
      </c>
      <c r="DJ231" t="s">
        <v>236</v>
      </c>
      <c r="DM231" t="s">
        <v>212</v>
      </c>
    </row>
    <row r="232" spans="1:184" x14ac:dyDescent="0.3">
      <c r="A232">
        <v>22879138</v>
      </c>
      <c r="B232">
        <v>9771960</v>
      </c>
      <c r="C232" t="str">
        <f>"170128601850"</f>
        <v>170128601850</v>
      </c>
      <c r="D232" t="s">
        <v>937</v>
      </c>
      <c r="E232" t="s">
        <v>938</v>
      </c>
      <c r="F232" t="s">
        <v>939</v>
      </c>
      <c r="G232" s="1">
        <v>42763</v>
      </c>
      <c r="I232" t="s">
        <v>199</v>
      </c>
      <c r="J232" t="s">
        <v>200</v>
      </c>
      <c r="K232" t="s">
        <v>201</v>
      </c>
      <c r="Q232" t="s">
        <v>212</v>
      </c>
      <c r="R232" t="str">
        <f>"КАЗАХСТАН, АКМОЛИНСКАЯ, СТЕПНОГОРСК, Бестобе, 15, 1"</f>
        <v>КАЗАХСТАН, АКМОЛИНСКАЯ, СТЕПНОГОРСК, Бестобе, 15, 1</v>
      </c>
      <c r="S232" t="str">
        <f>"ҚАЗАҚСТАН, АҚМОЛА, СТЕПНОГОР, Бестобе, 15, 1"</f>
        <v>ҚАЗАҚСТАН, АҚМОЛА, СТЕПНОГОР, Бестобе, 15, 1</v>
      </c>
      <c r="T232" t="str">
        <f>"Бестобе, 15, 1"</f>
        <v>Бестобе, 15, 1</v>
      </c>
      <c r="U232" t="str">
        <f>"Бестобе, 15, 1"</f>
        <v>Бестобе, 15, 1</v>
      </c>
      <c r="AC232" t="str">
        <f>"2022-08-25T00:00:00"</f>
        <v>2022-08-25T00:00:00</v>
      </c>
      <c r="AD232" t="str">
        <f>"201"</f>
        <v>201</v>
      </c>
      <c r="AG232" t="s">
        <v>202</v>
      </c>
      <c r="AI232" t="s">
        <v>269</v>
      </c>
      <c r="AJ232" t="s">
        <v>660</v>
      </c>
      <c r="AK232" t="s">
        <v>434</v>
      </c>
      <c r="AL232" t="s">
        <v>206</v>
      </c>
      <c r="AN232" t="s">
        <v>254</v>
      </c>
      <c r="AO232">
        <v>1</v>
      </c>
      <c r="AP232" t="s">
        <v>208</v>
      </c>
      <c r="AQ232" t="s">
        <v>209</v>
      </c>
      <c r="AR232" t="s">
        <v>502</v>
      </c>
      <c r="AW232" t="s">
        <v>212</v>
      </c>
      <c r="AZ232" t="s">
        <v>209</v>
      </c>
      <c r="BI232" t="s">
        <v>212</v>
      </c>
      <c r="BJ232" t="s">
        <v>213</v>
      </c>
      <c r="BK232" t="s">
        <v>214</v>
      </c>
      <c r="BL232" t="s">
        <v>357</v>
      </c>
      <c r="BN232" t="s">
        <v>661</v>
      </c>
      <c r="BO232" t="s">
        <v>209</v>
      </c>
      <c r="BS232" t="s">
        <v>220</v>
      </c>
      <c r="BU232" t="s">
        <v>212</v>
      </c>
      <c r="BZ232" t="s">
        <v>662</v>
      </c>
      <c r="CA232" t="s">
        <v>287</v>
      </c>
      <c r="CC232" t="s">
        <v>209</v>
      </c>
      <c r="CE232" t="s">
        <v>242</v>
      </c>
      <c r="CJ232" t="s">
        <v>206</v>
      </c>
      <c r="CK232" t="s">
        <v>230</v>
      </c>
      <c r="CL232" t="s">
        <v>231</v>
      </c>
      <c r="CM232" t="s">
        <v>232</v>
      </c>
      <c r="CN232" t="s">
        <v>233</v>
      </c>
      <c r="CP232" t="s">
        <v>212</v>
      </c>
      <c r="CQ232" t="s">
        <v>212</v>
      </c>
      <c r="CR232" t="s">
        <v>212</v>
      </c>
      <c r="CS232" t="s">
        <v>212</v>
      </c>
      <c r="CY232" t="s">
        <v>212</v>
      </c>
      <c r="DB232" t="s">
        <v>234</v>
      </c>
      <c r="DE232" t="s">
        <v>212</v>
      </c>
      <c r="DF232" t="s">
        <v>212</v>
      </c>
      <c r="DG232" t="s">
        <v>235</v>
      </c>
      <c r="DH232" t="s">
        <v>212</v>
      </c>
      <c r="DJ232" t="s">
        <v>236</v>
      </c>
      <c r="DM232" t="s">
        <v>212</v>
      </c>
      <c r="GB232" t="s">
        <v>206</v>
      </c>
    </row>
    <row r="233" spans="1:184" x14ac:dyDescent="0.3">
      <c r="A233">
        <v>15760448</v>
      </c>
      <c r="B233">
        <v>9758749</v>
      </c>
      <c r="C233" t="str">
        <f>"140203504611"</f>
        <v>140203504611</v>
      </c>
      <c r="D233" t="s">
        <v>940</v>
      </c>
      <c r="E233" t="s">
        <v>941</v>
      </c>
      <c r="F233" t="s">
        <v>942</v>
      </c>
      <c r="G233" s="1">
        <v>41673</v>
      </c>
      <c r="I233" t="s">
        <v>240</v>
      </c>
      <c r="J233" t="s">
        <v>200</v>
      </c>
      <c r="K233" t="s">
        <v>260</v>
      </c>
      <c r="R233" t="str">
        <f>"КАЗАХСТАН, АКМОЛИНСКАЯ, СТЕПНОГОРСК, 11, 13"</f>
        <v>КАЗАХСТАН, АКМОЛИНСКАЯ, СТЕПНОГОРСК, 11, 13</v>
      </c>
      <c r="S233" t="str">
        <f>"ҚАЗАҚСТАН, АҚМОЛА, СТЕПНОГОР, 11, 13"</f>
        <v>ҚАЗАҚСТАН, АҚМОЛА, СТЕПНОГОР, 11, 13</v>
      </c>
      <c r="T233" t="str">
        <f>"11, 13"</f>
        <v>11, 13</v>
      </c>
      <c r="U233" t="str">
        <f>"11, 13"</f>
        <v>11, 13</v>
      </c>
      <c r="AC233" t="str">
        <f>"2020-08-25T00:00:00"</f>
        <v>2020-08-25T00:00:00</v>
      </c>
      <c r="AD233" t="str">
        <f>"145"</f>
        <v>145</v>
      </c>
      <c r="AG233" t="s">
        <v>202</v>
      </c>
      <c r="AI233" t="s">
        <v>203</v>
      </c>
      <c r="AJ233" t="s">
        <v>540</v>
      </c>
      <c r="AK233" t="s">
        <v>261</v>
      </c>
      <c r="AL233" t="s">
        <v>206</v>
      </c>
      <c r="AN233" t="s">
        <v>207</v>
      </c>
      <c r="AO233">
        <v>2</v>
      </c>
      <c r="AP233" t="s">
        <v>208</v>
      </c>
      <c r="AQ233" t="s">
        <v>209</v>
      </c>
      <c r="AR233" t="s">
        <v>502</v>
      </c>
      <c r="AW233" t="s">
        <v>212</v>
      </c>
      <c r="AZ233" t="s">
        <v>209</v>
      </c>
      <c r="BI233" t="s">
        <v>212</v>
      </c>
      <c r="BJ233" t="s">
        <v>213</v>
      </c>
      <c r="BK233" t="s">
        <v>214</v>
      </c>
      <c r="BL233" t="s">
        <v>357</v>
      </c>
      <c r="BN233" t="s">
        <v>216</v>
      </c>
      <c r="BO233" t="s">
        <v>209</v>
      </c>
      <c r="BP233" t="s">
        <v>241</v>
      </c>
      <c r="BQ233">
        <v>4</v>
      </c>
      <c r="BS233" t="s">
        <v>219</v>
      </c>
      <c r="BT233" t="s">
        <v>220</v>
      </c>
      <c r="BU233" t="s">
        <v>206</v>
      </c>
      <c r="BX233" t="s">
        <v>221</v>
      </c>
      <c r="BY233" t="s">
        <v>221</v>
      </c>
      <c r="BZ233" t="s">
        <v>541</v>
      </c>
      <c r="CA233" t="s">
        <v>287</v>
      </c>
      <c r="CC233" t="s">
        <v>222</v>
      </c>
      <c r="CD233" t="s">
        <v>223</v>
      </c>
      <c r="CE233" t="s">
        <v>242</v>
      </c>
      <c r="CJ233" t="s">
        <v>206</v>
      </c>
      <c r="CK233" t="s">
        <v>230</v>
      </c>
      <c r="CL233" t="s">
        <v>231</v>
      </c>
      <c r="CM233" t="s">
        <v>232</v>
      </c>
      <c r="CN233" t="s">
        <v>233</v>
      </c>
      <c r="CP233" t="s">
        <v>212</v>
      </c>
      <c r="CQ233" t="s">
        <v>212</v>
      </c>
      <c r="CR233" t="s">
        <v>212</v>
      </c>
      <c r="CS233" t="s">
        <v>212</v>
      </c>
      <c r="CY233" t="s">
        <v>212</v>
      </c>
      <c r="DB233" t="s">
        <v>234</v>
      </c>
      <c r="DE233" t="s">
        <v>212</v>
      </c>
      <c r="DF233" t="s">
        <v>212</v>
      </c>
      <c r="DG233" t="s">
        <v>235</v>
      </c>
      <c r="DH233" t="s">
        <v>212</v>
      </c>
      <c r="DJ233" t="s">
        <v>236</v>
      </c>
      <c r="DM233" t="s">
        <v>212</v>
      </c>
    </row>
    <row r="234" spans="1:184" x14ac:dyDescent="0.3">
      <c r="A234">
        <v>15760200</v>
      </c>
      <c r="B234">
        <v>921196</v>
      </c>
      <c r="C234" t="str">
        <f>"140924500133"</f>
        <v>140924500133</v>
      </c>
      <c r="D234" t="s">
        <v>943</v>
      </c>
      <c r="E234" t="s">
        <v>944</v>
      </c>
      <c r="F234" t="s">
        <v>945</v>
      </c>
      <c r="G234" s="1">
        <v>41906</v>
      </c>
      <c r="I234" t="s">
        <v>240</v>
      </c>
      <c r="J234" t="s">
        <v>200</v>
      </c>
      <c r="K234" t="s">
        <v>201</v>
      </c>
      <c r="R234" t="str">
        <f>"КАЗАХСТАН, АКМОЛИНСКАЯ, СТЕПНОГОРСК, 17, 24"</f>
        <v>КАЗАХСТАН, АКМОЛИНСКАЯ, СТЕПНОГОРСК, 17, 24</v>
      </c>
      <c r="S234" t="str">
        <f>"ҚАЗАҚСТАН, АҚМОЛА, СТЕПНОГОР, 17, 24"</f>
        <v>ҚАЗАҚСТАН, АҚМОЛА, СТЕПНОГОР, 17, 24</v>
      </c>
      <c r="T234" t="str">
        <f>"17, 24"</f>
        <v>17, 24</v>
      </c>
      <c r="U234" t="str">
        <f>"17, 24"</f>
        <v>17, 24</v>
      </c>
      <c r="AC234" t="str">
        <f>"2020-08-25T00:00:00"</f>
        <v>2020-08-25T00:00:00</v>
      </c>
      <c r="AD234" t="str">
        <f>"145"</f>
        <v>145</v>
      </c>
      <c r="AG234" t="s">
        <v>202</v>
      </c>
      <c r="AI234" t="s">
        <v>203</v>
      </c>
      <c r="AJ234" t="s">
        <v>540</v>
      </c>
      <c r="AK234" t="s">
        <v>261</v>
      </c>
      <c r="AL234" t="s">
        <v>206</v>
      </c>
      <c r="AN234" t="s">
        <v>207</v>
      </c>
      <c r="AO234">
        <v>2</v>
      </c>
      <c r="AP234" t="s">
        <v>208</v>
      </c>
      <c r="AQ234" t="s">
        <v>209</v>
      </c>
      <c r="AR234" t="s">
        <v>502</v>
      </c>
      <c r="AW234" t="s">
        <v>212</v>
      </c>
      <c r="AZ234" t="s">
        <v>209</v>
      </c>
      <c r="BI234" t="s">
        <v>212</v>
      </c>
      <c r="BJ234" t="s">
        <v>213</v>
      </c>
      <c r="BK234" t="s">
        <v>214</v>
      </c>
      <c r="BL234" t="s">
        <v>357</v>
      </c>
      <c r="BN234" t="s">
        <v>216</v>
      </c>
      <c r="BO234" t="s">
        <v>209</v>
      </c>
      <c r="BP234" t="s">
        <v>241</v>
      </c>
      <c r="BQ234">
        <v>4</v>
      </c>
      <c r="BS234" t="s">
        <v>219</v>
      </c>
      <c r="BT234" t="s">
        <v>220</v>
      </c>
      <c r="BU234" t="s">
        <v>206</v>
      </c>
      <c r="BX234" t="s">
        <v>221</v>
      </c>
      <c r="BY234" t="s">
        <v>221</v>
      </c>
      <c r="BZ234" t="s">
        <v>541</v>
      </c>
      <c r="CA234" t="s">
        <v>287</v>
      </c>
      <c r="CC234" t="s">
        <v>222</v>
      </c>
      <c r="CD234" t="s">
        <v>223</v>
      </c>
      <c r="CE234" t="s">
        <v>242</v>
      </c>
      <c r="CJ234" t="s">
        <v>206</v>
      </c>
      <c r="CK234" t="s">
        <v>230</v>
      </c>
      <c r="CL234" t="s">
        <v>231</v>
      </c>
      <c r="CM234" t="s">
        <v>232</v>
      </c>
      <c r="CN234" t="s">
        <v>233</v>
      </c>
      <c r="CP234" t="s">
        <v>212</v>
      </c>
      <c r="CQ234" t="s">
        <v>212</v>
      </c>
      <c r="CR234" t="s">
        <v>212</v>
      </c>
      <c r="CS234" t="s">
        <v>212</v>
      </c>
      <c r="CY234" t="s">
        <v>212</v>
      </c>
      <c r="DB234" t="s">
        <v>234</v>
      </c>
      <c r="DE234" t="s">
        <v>212</v>
      </c>
      <c r="DF234" t="s">
        <v>212</v>
      </c>
      <c r="DG234" t="s">
        <v>235</v>
      </c>
      <c r="DH234" t="s">
        <v>212</v>
      </c>
      <c r="DJ234" t="s">
        <v>236</v>
      </c>
      <c r="DM234" t="s">
        <v>212</v>
      </c>
    </row>
    <row r="235" spans="1:184" x14ac:dyDescent="0.3">
      <c r="A235">
        <v>22879176</v>
      </c>
      <c r="B235">
        <v>863762</v>
      </c>
      <c r="C235" t="str">
        <f>"161016500986"</f>
        <v>161016500986</v>
      </c>
      <c r="D235" t="s">
        <v>736</v>
      </c>
      <c r="E235" t="s">
        <v>946</v>
      </c>
      <c r="F235" t="s">
        <v>738</v>
      </c>
      <c r="G235" s="1">
        <v>42659</v>
      </c>
      <c r="I235" t="s">
        <v>240</v>
      </c>
      <c r="J235" t="s">
        <v>200</v>
      </c>
      <c r="K235" t="s">
        <v>201</v>
      </c>
      <c r="Q235" t="s">
        <v>212</v>
      </c>
      <c r="R235" t="str">
        <f>"КАЗАХСТАН, АКМОЛИНСКАЯ, СТЕПНОГОРСК, 11, 12"</f>
        <v>КАЗАХСТАН, АКМОЛИНСКАЯ, СТЕПНОГОРСК, 11, 12</v>
      </c>
      <c r="S235" t="str">
        <f>"ҚАЗАҚСТАН, АҚМОЛА, СТЕПНОГОР, 11, 12"</f>
        <v>ҚАЗАҚСТАН, АҚМОЛА, СТЕПНОГОР, 11, 12</v>
      </c>
      <c r="T235" t="str">
        <f>"11, 12"</f>
        <v>11, 12</v>
      </c>
      <c r="U235" t="str">
        <f>"11, 12"</f>
        <v>11, 12</v>
      </c>
      <c r="AC235" t="str">
        <f>"2022-08-25T00:00:00"</f>
        <v>2022-08-25T00:00:00</v>
      </c>
      <c r="AD235" t="str">
        <f>"201"</f>
        <v>201</v>
      </c>
      <c r="AE235" t="str">
        <f>"2023-09-01T17:32:07"</f>
        <v>2023-09-01T17:32:07</v>
      </c>
      <c r="AF235" t="str">
        <f>"2024-05-25T17:32:07"</f>
        <v>2024-05-25T17:32:07</v>
      </c>
      <c r="AG235" t="s">
        <v>202</v>
      </c>
      <c r="AI235" t="s">
        <v>269</v>
      </c>
      <c r="AJ235" t="s">
        <v>660</v>
      </c>
      <c r="AK235" t="s">
        <v>434</v>
      </c>
      <c r="AL235" t="s">
        <v>206</v>
      </c>
      <c r="AN235" t="s">
        <v>254</v>
      </c>
      <c r="AO235">
        <v>1</v>
      </c>
      <c r="AP235" t="s">
        <v>208</v>
      </c>
      <c r="AQ235" t="s">
        <v>209</v>
      </c>
      <c r="AR235" t="s">
        <v>502</v>
      </c>
      <c r="AW235" t="s">
        <v>212</v>
      </c>
      <c r="AZ235" t="s">
        <v>209</v>
      </c>
      <c r="BI235" t="s">
        <v>212</v>
      </c>
      <c r="BJ235" t="s">
        <v>213</v>
      </c>
      <c r="BK235" t="s">
        <v>214</v>
      </c>
      <c r="BL235" t="s">
        <v>357</v>
      </c>
      <c r="BN235" t="s">
        <v>661</v>
      </c>
      <c r="BO235" t="s">
        <v>209</v>
      </c>
      <c r="BS235" t="s">
        <v>220</v>
      </c>
      <c r="BU235" t="s">
        <v>212</v>
      </c>
      <c r="BZ235" t="s">
        <v>662</v>
      </c>
      <c r="CA235" t="s">
        <v>287</v>
      </c>
      <c r="CC235" t="s">
        <v>404</v>
      </c>
      <c r="CD235" t="s">
        <v>223</v>
      </c>
      <c r="CE235" t="s">
        <v>242</v>
      </c>
      <c r="CJ235" t="s">
        <v>206</v>
      </c>
      <c r="CK235" t="s">
        <v>230</v>
      </c>
      <c r="CL235" t="s">
        <v>231</v>
      </c>
      <c r="CM235" t="s">
        <v>232</v>
      </c>
      <c r="CN235" t="s">
        <v>233</v>
      </c>
      <c r="CP235" t="s">
        <v>212</v>
      </c>
      <c r="CQ235" t="s">
        <v>212</v>
      </c>
      <c r="CR235" t="s">
        <v>212</v>
      </c>
      <c r="CS235" t="s">
        <v>212</v>
      </c>
      <c r="CY235" t="s">
        <v>212</v>
      </c>
      <c r="DB235" t="s">
        <v>234</v>
      </c>
      <c r="DE235" t="s">
        <v>212</v>
      </c>
      <c r="DF235" t="s">
        <v>212</v>
      </c>
      <c r="DG235" t="s">
        <v>235</v>
      </c>
      <c r="DH235" t="s">
        <v>212</v>
      </c>
      <c r="DJ235" t="s">
        <v>236</v>
      </c>
      <c r="DM235" t="s">
        <v>212</v>
      </c>
      <c r="GB235" t="s">
        <v>206</v>
      </c>
    </row>
    <row r="236" spans="1:184" x14ac:dyDescent="0.3">
      <c r="A236">
        <v>15760103</v>
      </c>
      <c r="B236">
        <v>9758639</v>
      </c>
      <c r="C236" t="str">
        <f>"140806500161"</f>
        <v>140806500161</v>
      </c>
      <c r="D236" t="s">
        <v>947</v>
      </c>
      <c r="E236" t="s">
        <v>948</v>
      </c>
      <c r="F236" t="s">
        <v>949</v>
      </c>
      <c r="G236" s="1">
        <v>41857</v>
      </c>
      <c r="I236" t="s">
        <v>240</v>
      </c>
      <c r="J236" t="s">
        <v>200</v>
      </c>
      <c r="K236" t="s">
        <v>201</v>
      </c>
      <c r="R236" t="str">
        <f>"КАЗАХСТАН, АКМОЛИНСКАЯ, СТЕПНОГОРСК, 43, 54"</f>
        <v>КАЗАХСТАН, АКМОЛИНСКАЯ, СТЕПНОГОРСК, 43, 54</v>
      </c>
      <c r="S236" t="str">
        <f>"ҚАЗАҚСТАН, АҚМОЛА, СТЕПНОГОР, 43, 54"</f>
        <v>ҚАЗАҚСТАН, АҚМОЛА, СТЕПНОГОР, 43, 54</v>
      </c>
      <c r="T236" t="str">
        <f>"43, 54"</f>
        <v>43, 54</v>
      </c>
      <c r="U236" t="str">
        <f>"43, 54"</f>
        <v>43, 54</v>
      </c>
      <c r="AC236" t="str">
        <f>"2020-08-25T00:00:00"</f>
        <v>2020-08-25T00:00:00</v>
      </c>
      <c r="AD236" t="str">
        <f>"145"</f>
        <v>145</v>
      </c>
      <c r="AG236" t="s">
        <v>202</v>
      </c>
      <c r="AI236" t="s">
        <v>203</v>
      </c>
      <c r="AJ236" t="s">
        <v>540</v>
      </c>
      <c r="AK236" t="s">
        <v>246</v>
      </c>
      <c r="AL236" t="s">
        <v>206</v>
      </c>
      <c r="AN236" t="s">
        <v>207</v>
      </c>
      <c r="AO236">
        <v>2</v>
      </c>
      <c r="AP236" t="s">
        <v>208</v>
      </c>
      <c r="AQ236" t="s">
        <v>209</v>
      </c>
      <c r="AR236" t="s">
        <v>502</v>
      </c>
      <c r="AW236" t="s">
        <v>212</v>
      </c>
      <c r="AZ236" t="s">
        <v>209</v>
      </c>
      <c r="BI236" t="s">
        <v>212</v>
      </c>
      <c r="BJ236" t="s">
        <v>213</v>
      </c>
      <c r="BK236" t="s">
        <v>214</v>
      </c>
      <c r="BL236" t="s">
        <v>357</v>
      </c>
      <c r="BN236" t="s">
        <v>216</v>
      </c>
      <c r="BO236" t="s">
        <v>209</v>
      </c>
      <c r="BP236" t="s">
        <v>241</v>
      </c>
      <c r="BQ236">
        <v>4</v>
      </c>
      <c r="BS236" t="s">
        <v>219</v>
      </c>
      <c r="BT236" t="s">
        <v>220</v>
      </c>
      <c r="BU236" t="s">
        <v>206</v>
      </c>
      <c r="BX236" t="s">
        <v>221</v>
      </c>
      <c r="BY236" t="s">
        <v>221</v>
      </c>
      <c r="BZ236" t="s">
        <v>541</v>
      </c>
      <c r="CA236" t="s">
        <v>287</v>
      </c>
      <c r="CC236" t="s">
        <v>222</v>
      </c>
      <c r="CD236" t="s">
        <v>223</v>
      </c>
      <c r="CE236" t="s">
        <v>242</v>
      </c>
      <c r="CJ236" t="s">
        <v>206</v>
      </c>
      <c r="CK236" t="s">
        <v>230</v>
      </c>
      <c r="CL236" t="s">
        <v>231</v>
      </c>
      <c r="CM236" t="s">
        <v>232</v>
      </c>
      <c r="CN236" t="s">
        <v>233</v>
      </c>
      <c r="CP236" t="s">
        <v>212</v>
      </c>
      <c r="CQ236" t="s">
        <v>212</v>
      </c>
      <c r="CR236" t="s">
        <v>212</v>
      </c>
      <c r="CS236" t="s">
        <v>212</v>
      </c>
      <c r="CY236" t="s">
        <v>212</v>
      </c>
      <c r="DB236" t="s">
        <v>234</v>
      </c>
      <c r="DE236" t="s">
        <v>212</v>
      </c>
      <c r="DF236" t="s">
        <v>212</v>
      </c>
      <c r="DG236" t="s">
        <v>235</v>
      </c>
      <c r="DH236" t="s">
        <v>212</v>
      </c>
      <c r="DJ236" t="s">
        <v>236</v>
      </c>
      <c r="DM236" t="s">
        <v>212</v>
      </c>
    </row>
    <row r="237" spans="1:184" x14ac:dyDescent="0.3">
      <c r="A237">
        <v>15759845</v>
      </c>
      <c r="B237">
        <v>840040</v>
      </c>
      <c r="C237" t="str">
        <f>"140912600917"</f>
        <v>140912600917</v>
      </c>
      <c r="D237" t="s">
        <v>283</v>
      </c>
      <c r="E237" t="s">
        <v>950</v>
      </c>
      <c r="F237" t="s">
        <v>951</v>
      </c>
      <c r="G237" s="1">
        <v>41894</v>
      </c>
      <c r="I237" t="s">
        <v>199</v>
      </c>
      <c r="J237" t="s">
        <v>200</v>
      </c>
      <c r="K237" t="s">
        <v>201</v>
      </c>
      <c r="R237" t="str">
        <f>"КАЗАХСТАН, АКМОЛИНСКАЯ, СТЕПНОГОРСК, 85, 20"</f>
        <v>КАЗАХСТАН, АКМОЛИНСКАЯ, СТЕПНОГОРСК, 85, 20</v>
      </c>
      <c r="S237" t="str">
        <f>"ҚАЗАҚСТАН, АҚМОЛА, СТЕПНОГОР, 85, 20"</f>
        <v>ҚАЗАҚСТАН, АҚМОЛА, СТЕПНОГОР, 85, 20</v>
      </c>
      <c r="T237" t="str">
        <f>"85, 20"</f>
        <v>85, 20</v>
      </c>
      <c r="U237" t="str">
        <f>"85, 20"</f>
        <v>85, 20</v>
      </c>
      <c r="AC237" t="str">
        <f>"2020-08-25T00:00:00"</f>
        <v>2020-08-25T00:00:00</v>
      </c>
      <c r="AD237" t="str">
        <f>"145"</f>
        <v>145</v>
      </c>
      <c r="AG237" t="s">
        <v>202</v>
      </c>
      <c r="AI237" t="s">
        <v>203</v>
      </c>
      <c r="AJ237" t="s">
        <v>540</v>
      </c>
      <c r="AK237" t="s">
        <v>205</v>
      </c>
      <c r="AL237" t="s">
        <v>206</v>
      </c>
      <c r="AN237" t="s">
        <v>207</v>
      </c>
      <c r="AO237">
        <v>2</v>
      </c>
      <c r="AP237" t="s">
        <v>208</v>
      </c>
      <c r="AQ237" t="s">
        <v>209</v>
      </c>
      <c r="AR237" t="s">
        <v>502</v>
      </c>
      <c r="AW237" t="s">
        <v>212</v>
      </c>
      <c r="AZ237" t="s">
        <v>209</v>
      </c>
      <c r="BI237" t="s">
        <v>212</v>
      </c>
      <c r="BJ237" t="s">
        <v>213</v>
      </c>
      <c r="BK237" t="s">
        <v>214</v>
      </c>
      <c r="BL237" t="s">
        <v>357</v>
      </c>
      <c r="BN237" t="s">
        <v>216</v>
      </c>
      <c r="BO237" t="s">
        <v>209</v>
      </c>
      <c r="BP237" t="s">
        <v>241</v>
      </c>
      <c r="BQ237">
        <v>4</v>
      </c>
      <c r="BS237" t="s">
        <v>219</v>
      </c>
      <c r="BT237" t="s">
        <v>220</v>
      </c>
      <c r="BU237" t="s">
        <v>206</v>
      </c>
      <c r="BX237" t="s">
        <v>221</v>
      </c>
      <c r="BY237" t="s">
        <v>221</v>
      </c>
      <c r="BZ237" t="s">
        <v>541</v>
      </c>
      <c r="CA237" t="s">
        <v>287</v>
      </c>
      <c r="CC237" t="s">
        <v>222</v>
      </c>
      <c r="CD237" t="s">
        <v>223</v>
      </c>
      <c r="CE237" t="s">
        <v>242</v>
      </c>
      <c r="CJ237" t="s">
        <v>206</v>
      </c>
      <c r="CK237" t="s">
        <v>230</v>
      </c>
      <c r="CL237" t="s">
        <v>231</v>
      </c>
      <c r="CM237" t="s">
        <v>232</v>
      </c>
      <c r="CN237" t="s">
        <v>233</v>
      </c>
      <c r="CP237" t="s">
        <v>212</v>
      </c>
      <c r="CQ237" t="s">
        <v>212</v>
      </c>
      <c r="CR237" t="s">
        <v>212</v>
      </c>
      <c r="CS237" t="s">
        <v>212</v>
      </c>
      <c r="CY237" t="s">
        <v>212</v>
      </c>
      <c r="DB237" t="s">
        <v>234</v>
      </c>
      <c r="DE237" t="s">
        <v>212</v>
      </c>
      <c r="DF237" t="s">
        <v>212</v>
      </c>
      <c r="DG237" t="s">
        <v>235</v>
      </c>
      <c r="DH237" t="s">
        <v>212</v>
      </c>
      <c r="DJ237" t="s">
        <v>236</v>
      </c>
      <c r="DM237" t="s">
        <v>212</v>
      </c>
      <c r="GB237" t="s">
        <v>206</v>
      </c>
    </row>
    <row r="238" spans="1:184" x14ac:dyDescent="0.3">
      <c r="A238">
        <v>15759700</v>
      </c>
      <c r="B238">
        <v>840606</v>
      </c>
      <c r="C238" t="str">
        <f>"140923600253"</f>
        <v>140923600253</v>
      </c>
      <c r="D238" t="s">
        <v>952</v>
      </c>
      <c r="E238" t="s">
        <v>573</v>
      </c>
      <c r="F238" t="s">
        <v>305</v>
      </c>
      <c r="G238" s="1">
        <v>41905</v>
      </c>
      <c r="I238" t="s">
        <v>199</v>
      </c>
      <c r="J238" t="s">
        <v>200</v>
      </c>
      <c r="K238" t="s">
        <v>260</v>
      </c>
      <c r="R238" t="str">
        <f>"КАЗАХСТАН, АКМОЛИНСКАЯ, СТЕПНОГОРСК, 68, 28"</f>
        <v>КАЗАХСТАН, АКМОЛИНСКАЯ, СТЕПНОГОРСК, 68, 28</v>
      </c>
      <c r="S238" t="str">
        <f>"ҚАЗАҚСТАН, АҚМОЛА, СТЕПНОГОР, 68, 28"</f>
        <v>ҚАЗАҚСТАН, АҚМОЛА, СТЕПНОГОР, 68, 28</v>
      </c>
      <c r="T238" t="str">
        <f>"68, 28"</f>
        <v>68, 28</v>
      </c>
      <c r="U238" t="str">
        <f>"68, 28"</f>
        <v>68, 28</v>
      </c>
      <c r="AC238" t="str">
        <f>"2020-08-25T00:00:00"</f>
        <v>2020-08-25T00:00:00</v>
      </c>
      <c r="AD238" t="str">
        <f>"145"</f>
        <v>145</v>
      </c>
      <c r="AG238" t="s">
        <v>202</v>
      </c>
      <c r="AI238" t="s">
        <v>203</v>
      </c>
      <c r="AJ238" t="s">
        <v>540</v>
      </c>
      <c r="AK238" t="s">
        <v>246</v>
      </c>
      <c r="AL238" t="s">
        <v>206</v>
      </c>
      <c r="AN238" t="s">
        <v>207</v>
      </c>
      <c r="AO238">
        <v>2</v>
      </c>
      <c r="AP238" t="s">
        <v>208</v>
      </c>
      <c r="AQ238" t="s">
        <v>209</v>
      </c>
      <c r="AR238" t="s">
        <v>502</v>
      </c>
      <c r="AW238" t="s">
        <v>212</v>
      </c>
      <c r="AZ238" t="s">
        <v>209</v>
      </c>
      <c r="BI238" t="s">
        <v>212</v>
      </c>
      <c r="BJ238" t="s">
        <v>213</v>
      </c>
      <c r="BK238" t="s">
        <v>214</v>
      </c>
      <c r="BL238" t="s">
        <v>357</v>
      </c>
      <c r="BN238" t="s">
        <v>216</v>
      </c>
      <c r="BO238" t="s">
        <v>209</v>
      </c>
      <c r="BP238" t="s">
        <v>241</v>
      </c>
      <c r="BQ238">
        <v>4</v>
      </c>
      <c r="BS238" t="s">
        <v>219</v>
      </c>
      <c r="BT238" t="s">
        <v>220</v>
      </c>
      <c r="BU238" t="s">
        <v>206</v>
      </c>
      <c r="BX238" t="s">
        <v>221</v>
      </c>
      <c r="BY238" t="s">
        <v>221</v>
      </c>
      <c r="BZ238" t="s">
        <v>541</v>
      </c>
      <c r="CA238" t="s">
        <v>287</v>
      </c>
      <c r="CC238" t="s">
        <v>222</v>
      </c>
      <c r="CD238" t="s">
        <v>223</v>
      </c>
      <c r="CE238" t="s">
        <v>242</v>
      </c>
      <c r="CJ238" t="s">
        <v>206</v>
      </c>
      <c r="CK238" t="s">
        <v>230</v>
      </c>
      <c r="CL238" t="s">
        <v>231</v>
      </c>
      <c r="CM238" t="s">
        <v>232</v>
      </c>
      <c r="CN238" t="s">
        <v>233</v>
      </c>
      <c r="CP238" t="s">
        <v>212</v>
      </c>
      <c r="CQ238" t="s">
        <v>212</v>
      </c>
      <c r="CR238" t="s">
        <v>212</v>
      </c>
      <c r="CS238" t="s">
        <v>212</v>
      </c>
      <c r="CY238" t="s">
        <v>212</v>
      </c>
      <c r="DB238" t="s">
        <v>234</v>
      </c>
      <c r="DE238" t="s">
        <v>212</v>
      </c>
      <c r="DF238" t="s">
        <v>212</v>
      </c>
      <c r="DG238" t="s">
        <v>235</v>
      </c>
      <c r="DH238" t="s">
        <v>212</v>
      </c>
      <c r="DJ238" t="s">
        <v>236</v>
      </c>
      <c r="DM238" t="s">
        <v>212</v>
      </c>
      <c r="GB238" t="s">
        <v>206</v>
      </c>
    </row>
    <row r="239" spans="1:184" x14ac:dyDescent="0.3">
      <c r="A239">
        <v>15759550</v>
      </c>
      <c r="B239">
        <v>839921</v>
      </c>
      <c r="C239" t="str">
        <f>"140519504283"</f>
        <v>140519504283</v>
      </c>
      <c r="D239" t="s">
        <v>953</v>
      </c>
      <c r="E239" t="s">
        <v>954</v>
      </c>
      <c r="F239" t="s">
        <v>955</v>
      </c>
      <c r="G239" s="1">
        <v>41778</v>
      </c>
      <c r="I239" t="s">
        <v>240</v>
      </c>
      <c r="J239" t="s">
        <v>200</v>
      </c>
      <c r="K239" t="s">
        <v>201</v>
      </c>
      <c r="Q239" t="s">
        <v>212</v>
      </c>
      <c r="R239" t="str">
        <f>"КАЗАХСТАН, АКМОЛИНСКАЯ, СТЕПНОГОРСК, 23, 28"</f>
        <v>КАЗАХСТАН, АКМОЛИНСКАЯ, СТЕПНОГОРСК, 23, 28</v>
      </c>
      <c r="S239" t="str">
        <f>"ҚАЗАҚСТАН, АҚМОЛА, СТЕПНОГОР, 23, 28"</f>
        <v>ҚАЗАҚСТАН, АҚМОЛА, СТЕПНОГОР, 23, 28</v>
      </c>
      <c r="T239" t="str">
        <f>"23, 28"</f>
        <v>23, 28</v>
      </c>
      <c r="U239" t="str">
        <f>"23, 28"</f>
        <v>23, 28</v>
      </c>
      <c r="AC239" t="str">
        <f>"2020-08-25T00:00:00"</f>
        <v>2020-08-25T00:00:00</v>
      </c>
      <c r="AD239" t="str">
        <f>"145"</f>
        <v>145</v>
      </c>
      <c r="AE239" t="str">
        <f>"2023-09-01T23:33:07"</f>
        <v>2023-09-01T23:33:07</v>
      </c>
      <c r="AF239" t="str">
        <f>"2024-05-25T23:33:07"</f>
        <v>2024-05-25T23:33:07</v>
      </c>
      <c r="AG239" t="s">
        <v>202</v>
      </c>
      <c r="AI239" t="s">
        <v>203</v>
      </c>
      <c r="AJ239" t="s">
        <v>540</v>
      </c>
      <c r="AK239" t="s">
        <v>246</v>
      </c>
      <c r="AL239" t="s">
        <v>206</v>
      </c>
      <c r="AN239" t="s">
        <v>207</v>
      </c>
      <c r="AO239">
        <v>2</v>
      </c>
      <c r="AP239" t="s">
        <v>208</v>
      </c>
      <c r="AQ239" t="s">
        <v>209</v>
      </c>
      <c r="AR239" t="s">
        <v>210</v>
      </c>
      <c r="AW239" t="s">
        <v>212</v>
      </c>
      <c r="AZ239" t="s">
        <v>209</v>
      </c>
      <c r="BI239" t="s">
        <v>212</v>
      </c>
      <c r="BJ239" t="s">
        <v>213</v>
      </c>
      <c r="BK239" t="s">
        <v>214</v>
      </c>
      <c r="BL239" t="s">
        <v>357</v>
      </c>
      <c r="BN239" t="s">
        <v>216</v>
      </c>
      <c r="BO239" t="s">
        <v>209</v>
      </c>
      <c r="BP239" t="s">
        <v>241</v>
      </c>
      <c r="BQ239">
        <v>5</v>
      </c>
      <c r="BS239" t="s">
        <v>219</v>
      </c>
      <c r="BT239" t="s">
        <v>220</v>
      </c>
      <c r="BU239" t="s">
        <v>206</v>
      </c>
      <c r="BX239" t="s">
        <v>221</v>
      </c>
      <c r="BY239" t="s">
        <v>221</v>
      </c>
      <c r="BZ239" t="s">
        <v>541</v>
      </c>
      <c r="CA239" t="s">
        <v>287</v>
      </c>
      <c r="CC239" t="s">
        <v>956</v>
      </c>
      <c r="CD239" t="s">
        <v>223</v>
      </c>
      <c r="CE239" t="s">
        <v>242</v>
      </c>
      <c r="CJ239" t="s">
        <v>206</v>
      </c>
      <c r="CK239" t="s">
        <v>230</v>
      </c>
      <c r="CL239" t="s">
        <v>231</v>
      </c>
      <c r="CM239" t="s">
        <v>232</v>
      </c>
      <c r="CN239" t="s">
        <v>233</v>
      </c>
      <c r="CP239" t="s">
        <v>212</v>
      </c>
      <c r="CQ239" t="s">
        <v>212</v>
      </c>
      <c r="CR239" t="s">
        <v>212</v>
      </c>
      <c r="CS239" t="s">
        <v>212</v>
      </c>
      <c r="CY239" t="s">
        <v>212</v>
      </c>
      <c r="DB239" t="s">
        <v>957</v>
      </c>
      <c r="DC239" t="str">
        <f>"№351 Задержка психического развития. Общее недоразвитие речи  3 уровня"</f>
        <v>№351 Задержка психического развития. Общее недоразвитие речи  3 уровня</v>
      </c>
      <c r="DD239" t="str">
        <f>"2023-04-25T00:00:00"</f>
        <v>2023-04-25T00:00:00</v>
      </c>
      <c r="DE239" t="s">
        <v>212</v>
      </c>
      <c r="DF239" t="s">
        <v>206</v>
      </c>
      <c r="DG239" t="s">
        <v>235</v>
      </c>
      <c r="DH239" t="s">
        <v>212</v>
      </c>
      <c r="DJ239" t="s">
        <v>236</v>
      </c>
      <c r="DM239" t="s">
        <v>206</v>
      </c>
      <c r="GB239" t="s">
        <v>206</v>
      </c>
    </row>
    <row r="240" spans="1:184" x14ac:dyDescent="0.3">
      <c r="A240">
        <v>15759477</v>
      </c>
      <c r="B240">
        <v>760806</v>
      </c>
      <c r="C240" t="str">
        <f>"140317500044"</f>
        <v>140317500044</v>
      </c>
      <c r="D240" t="s">
        <v>958</v>
      </c>
      <c r="E240" t="s">
        <v>959</v>
      </c>
      <c r="F240" t="s">
        <v>558</v>
      </c>
      <c r="G240" s="1">
        <v>41715</v>
      </c>
      <c r="I240" t="s">
        <v>240</v>
      </c>
      <c r="J240" t="s">
        <v>200</v>
      </c>
      <c r="K240" t="s">
        <v>268</v>
      </c>
      <c r="R240" t="str">
        <f>"КАЗАХСТАН, АКМОЛИНСКАЯ, СТЕПНОГОРСК, 33, 31"</f>
        <v>КАЗАХСТАН, АКМОЛИНСКАЯ, СТЕПНОГОРСК, 33, 31</v>
      </c>
      <c r="S240" t="str">
        <f>"ҚАЗАҚСТАН, АҚМОЛА, СТЕПНОГОР, 33, 31"</f>
        <v>ҚАЗАҚСТАН, АҚМОЛА, СТЕПНОГОР, 33, 31</v>
      </c>
      <c r="T240" t="str">
        <f>"33, 31"</f>
        <v>33, 31</v>
      </c>
      <c r="U240" t="str">
        <f>"33, 31"</f>
        <v>33, 31</v>
      </c>
      <c r="AC240" t="str">
        <f>"2020-08-25T00:00:00"</f>
        <v>2020-08-25T00:00:00</v>
      </c>
      <c r="AD240" t="str">
        <f>"145"</f>
        <v>145</v>
      </c>
      <c r="AG240" t="s">
        <v>202</v>
      </c>
      <c r="AI240" t="s">
        <v>203</v>
      </c>
      <c r="AJ240" t="s">
        <v>540</v>
      </c>
      <c r="AK240" t="s">
        <v>205</v>
      </c>
      <c r="AL240" t="s">
        <v>206</v>
      </c>
      <c r="AN240" t="s">
        <v>207</v>
      </c>
      <c r="AO240">
        <v>2</v>
      </c>
      <c r="AP240" t="s">
        <v>208</v>
      </c>
      <c r="AQ240" t="s">
        <v>209</v>
      </c>
      <c r="AR240" t="s">
        <v>502</v>
      </c>
      <c r="AW240" t="s">
        <v>212</v>
      </c>
      <c r="AZ240" t="s">
        <v>209</v>
      </c>
      <c r="BI240" t="s">
        <v>212</v>
      </c>
      <c r="BJ240" t="s">
        <v>213</v>
      </c>
      <c r="BK240" t="s">
        <v>214</v>
      </c>
      <c r="BL240" t="s">
        <v>357</v>
      </c>
      <c r="BN240" t="s">
        <v>216</v>
      </c>
      <c r="BO240" t="s">
        <v>209</v>
      </c>
      <c r="BP240" t="s">
        <v>241</v>
      </c>
      <c r="BQ240">
        <v>4</v>
      </c>
      <c r="BS240" t="s">
        <v>219</v>
      </c>
      <c r="BT240" t="s">
        <v>220</v>
      </c>
      <c r="BU240" t="s">
        <v>206</v>
      </c>
      <c r="BX240" t="s">
        <v>234</v>
      </c>
      <c r="BY240" t="s">
        <v>234</v>
      </c>
      <c r="BZ240" t="s">
        <v>541</v>
      </c>
      <c r="CA240" t="s">
        <v>287</v>
      </c>
      <c r="CC240" t="s">
        <v>960</v>
      </c>
      <c r="CD240" t="s">
        <v>810</v>
      </c>
      <c r="CE240" t="s">
        <v>242</v>
      </c>
      <c r="CJ240" t="s">
        <v>206</v>
      </c>
      <c r="CK240" t="s">
        <v>230</v>
      </c>
      <c r="CL240" t="s">
        <v>231</v>
      </c>
      <c r="CM240" t="s">
        <v>232</v>
      </c>
      <c r="CN240" t="s">
        <v>233</v>
      </c>
      <c r="CP240" t="s">
        <v>212</v>
      </c>
      <c r="CQ240" t="s">
        <v>212</v>
      </c>
      <c r="CR240" t="s">
        <v>212</v>
      </c>
      <c r="CS240" t="s">
        <v>212</v>
      </c>
      <c r="CY240" t="s">
        <v>212</v>
      </c>
      <c r="DB240" t="s">
        <v>234</v>
      </c>
      <c r="DE240" t="s">
        <v>212</v>
      </c>
      <c r="DF240" t="s">
        <v>212</v>
      </c>
      <c r="DG240" t="s">
        <v>235</v>
      </c>
      <c r="DH240" t="s">
        <v>212</v>
      </c>
      <c r="DJ240" t="s">
        <v>236</v>
      </c>
      <c r="DM240" t="s">
        <v>206</v>
      </c>
      <c r="GB240" t="s">
        <v>206</v>
      </c>
    </row>
    <row r="241" spans="1:184" x14ac:dyDescent="0.3">
      <c r="A241">
        <v>15759287</v>
      </c>
      <c r="B241">
        <v>450364</v>
      </c>
      <c r="C241" t="str">
        <f>"150130503133"</f>
        <v>150130503133</v>
      </c>
      <c r="D241" t="s">
        <v>961</v>
      </c>
      <c r="E241" t="s">
        <v>962</v>
      </c>
      <c r="F241" t="s">
        <v>963</v>
      </c>
      <c r="G241" s="1">
        <v>42034</v>
      </c>
      <c r="I241" t="s">
        <v>240</v>
      </c>
      <c r="J241" t="s">
        <v>200</v>
      </c>
      <c r="K241" t="s">
        <v>201</v>
      </c>
      <c r="Q241" t="s">
        <v>212</v>
      </c>
      <c r="R241" t="str">
        <f>"КАЗАХСТАН, АКМОЛИНСКАЯ, СТЕПНОГОРСК, 17, 37"</f>
        <v>КАЗАХСТАН, АКМОЛИНСКАЯ, СТЕПНОГОРСК, 17, 37</v>
      </c>
      <c r="S241" t="str">
        <f>"ҚАЗАҚСТАН, АҚМОЛА, СТЕПНОГОР, 17, 37"</f>
        <v>ҚАЗАҚСТАН, АҚМОЛА, СТЕПНОГОР, 17, 37</v>
      </c>
      <c r="T241" t="str">
        <f>"17, 37"</f>
        <v>17, 37</v>
      </c>
      <c r="U241" t="str">
        <f>"17, 37"</f>
        <v>17, 37</v>
      </c>
      <c r="AC241" t="str">
        <f>"2023-11-03T00:00:00"</f>
        <v>2023-11-03T00:00:00</v>
      </c>
      <c r="AD241" t="str">
        <f>"97"</f>
        <v>97</v>
      </c>
      <c r="AE241" t="str">
        <f>"2023-09-01T23:14:05"</f>
        <v>2023-09-01T23:14:05</v>
      </c>
      <c r="AF241" t="str">
        <f>"2024-05-25T23:14:05"</f>
        <v>2024-05-25T23:14:05</v>
      </c>
      <c r="AG241" t="s">
        <v>202</v>
      </c>
      <c r="AI241" t="s">
        <v>203</v>
      </c>
      <c r="AJ241" t="s">
        <v>540</v>
      </c>
      <c r="AK241" t="s">
        <v>253</v>
      </c>
      <c r="AL241" t="s">
        <v>206</v>
      </c>
      <c r="AN241" t="s">
        <v>254</v>
      </c>
      <c r="AO241">
        <v>2</v>
      </c>
      <c r="AP241" t="s">
        <v>208</v>
      </c>
      <c r="AQ241" t="s">
        <v>209</v>
      </c>
      <c r="AR241" t="s">
        <v>502</v>
      </c>
      <c r="AW241" t="s">
        <v>212</v>
      </c>
      <c r="AZ241" t="s">
        <v>209</v>
      </c>
      <c r="BI241" t="s">
        <v>212</v>
      </c>
      <c r="BJ241" t="s">
        <v>213</v>
      </c>
      <c r="BK241" t="s">
        <v>214</v>
      </c>
      <c r="BL241" t="s">
        <v>357</v>
      </c>
      <c r="BN241" t="s">
        <v>247</v>
      </c>
      <c r="BO241" t="s">
        <v>209</v>
      </c>
      <c r="BP241" t="s">
        <v>241</v>
      </c>
      <c r="BQ241">
        <v>4</v>
      </c>
      <c r="BS241" t="s">
        <v>219</v>
      </c>
      <c r="BT241" t="s">
        <v>220</v>
      </c>
      <c r="BU241" t="s">
        <v>206</v>
      </c>
      <c r="BX241" t="s">
        <v>221</v>
      </c>
      <c r="BY241" t="s">
        <v>221</v>
      </c>
      <c r="BZ241" t="s">
        <v>541</v>
      </c>
      <c r="CA241" t="s">
        <v>287</v>
      </c>
      <c r="CC241" t="s">
        <v>301</v>
      </c>
      <c r="CD241" t="s">
        <v>223</v>
      </c>
      <c r="CE241" t="s">
        <v>242</v>
      </c>
      <c r="CJ241" t="s">
        <v>206</v>
      </c>
      <c r="CK241" t="s">
        <v>230</v>
      </c>
      <c r="CL241" t="s">
        <v>231</v>
      </c>
      <c r="CM241" t="s">
        <v>232</v>
      </c>
      <c r="CN241" t="s">
        <v>233</v>
      </c>
      <c r="CP241" t="s">
        <v>212</v>
      </c>
      <c r="CQ241" t="s">
        <v>212</v>
      </c>
      <c r="CR241" t="s">
        <v>212</v>
      </c>
      <c r="CS241" t="s">
        <v>212</v>
      </c>
      <c r="CY241" t="s">
        <v>212</v>
      </c>
      <c r="DB241" t="s">
        <v>234</v>
      </c>
      <c r="DE241" t="s">
        <v>212</v>
      </c>
      <c r="DF241" t="s">
        <v>212</v>
      </c>
      <c r="DG241" t="s">
        <v>235</v>
      </c>
      <c r="DH241" t="s">
        <v>212</v>
      </c>
      <c r="DJ241" t="s">
        <v>236</v>
      </c>
      <c r="DM241" t="s">
        <v>212</v>
      </c>
      <c r="GB241" t="s">
        <v>206</v>
      </c>
    </row>
    <row r="242" spans="1:184" x14ac:dyDescent="0.3">
      <c r="A242">
        <v>15758933</v>
      </c>
      <c r="B242">
        <v>839834</v>
      </c>
      <c r="C242" t="str">
        <f>"140909503671"</f>
        <v>140909503671</v>
      </c>
      <c r="D242" t="s">
        <v>964</v>
      </c>
      <c r="E242" t="s">
        <v>965</v>
      </c>
      <c r="F242" t="s">
        <v>259</v>
      </c>
      <c r="G242" s="1">
        <v>41891</v>
      </c>
      <c r="I242" t="s">
        <v>240</v>
      </c>
      <c r="J242" t="s">
        <v>200</v>
      </c>
      <c r="K242" t="s">
        <v>260</v>
      </c>
      <c r="R242" t="str">
        <f>"КАЗАХСТАН, АКМОЛИНСКАЯ, СТЕПНОГОРСК, 85, 125"</f>
        <v>КАЗАХСТАН, АКМОЛИНСКАЯ, СТЕПНОГОРСК, 85, 125</v>
      </c>
      <c r="S242" t="str">
        <f>"ҚАЗАҚСТАН, АҚМОЛА, СТЕПНОГОР, 85, 125"</f>
        <v>ҚАЗАҚСТАН, АҚМОЛА, СТЕПНОГОР, 85, 125</v>
      </c>
      <c r="T242" t="str">
        <f>"85, 125"</f>
        <v>85, 125</v>
      </c>
      <c r="U242" t="str">
        <f>"85, 125"</f>
        <v>85, 125</v>
      </c>
      <c r="AC242" t="str">
        <f>"2020-08-25T00:00:00"</f>
        <v>2020-08-25T00:00:00</v>
      </c>
      <c r="AD242" t="str">
        <f>"145"</f>
        <v>145</v>
      </c>
      <c r="AG242" t="s">
        <v>202</v>
      </c>
      <c r="AI242" t="s">
        <v>203</v>
      </c>
      <c r="AJ242" t="s">
        <v>540</v>
      </c>
      <c r="AK242" t="s">
        <v>246</v>
      </c>
      <c r="AL242" t="s">
        <v>206</v>
      </c>
      <c r="AN242" t="s">
        <v>207</v>
      </c>
      <c r="AO242">
        <v>2</v>
      </c>
      <c r="AP242" t="s">
        <v>208</v>
      </c>
      <c r="AQ242" t="s">
        <v>209</v>
      </c>
      <c r="AR242" t="s">
        <v>502</v>
      </c>
      <c r="AW242" t="s">
        <v>212</v>
      </c>
      <c r="AZ242" t="s">
        <v>209</v>
      </c>
      <c r="BI242" t="s">
        <v>212</v>
      </c>
      <c r="BJ242" t="s">
        <v>213</v>
      </c>
      <c r="BK242" t="s">
        <v>214</v>
      </c>
      <c r="BL242" t="s">
        <v>357</v>
      </c>
      <c r="BN242" t="s">
        <v>247</v>
      </c>
      <c r="BO242" t="s">
        <v>209</v>
      </c>
      <c r="BP242" t="s">
        <v>241</v>
      </c>
      <c r="BQ242">
        <v>3</v>
      </c>
      <c r="BS242" t="s">
        <v>219</v>
      </c>
      <c r="BT242" t="s">
        <v>220</v>
      </c>
      <c r="BU242" t="s">
        <v>206</v>
      </c>
      <c r="BX242" t="s">
        <v>221</v>
      </c>
      <c r="BY242" t="s">
        <v>221</v>
      </c>
      <c r="BZ242" t="s">
        <v>541</v>
      </c>
      <c r="CA242" t="s">
        <v>287</v>
      </c>
      <c r="CC242" t="s">
        <v>222</v>
      </c>
      <c r="CD242" t="s">
        <v>223</v>
      </c>
      <c r="CE242" t="s">
        <v>242</v>
      </c>
      <c r="CJ242" t="s">
        <v>206</v>
      </c>
      <c r="CK242" t="s">
        <v>230</v>
      </c>
      <c r="CL242" t="s">
        <v>231</v>
      </c>
      <c r="CM242" t="s">
        <v>232</v>
      </c>
      <c r="CN242" t="s">
        <v>233</v>
      </c>
      <c r="CP242" t="s">
        <v>212</v>
      </c>
      <c r="CQ242" t="s">
        <v>212</v>
      </c>
      <c r="CR242" t="s">
        <v>212</v>
      </c>
      <c r="CS242" t="s">
        <v>212</v>
      </c>
      <c r="CY242" t="s">
        <v>212</v>
      </c>
      <c r="DB242" t="s">
        <v>234</v>
      </c>
      <c r="DE242" t="s">
        <v>212</v>
      </c>
      <c r="DF242" t="s">
        <v>212</v>
      </c>
      <c r="DG242" t="s">
        <v>235</v>
      </c>
      <c r="DH242" t="s">
        <v>212</v>
      </c>
      <c r="DJ242" t="s">
        <v>236</v>
      </c>
      <c r="DM242" t="s">
        <v>212</v>
      </c>
      <c r="GB242" t="s">
        <v>206</v>
      </c>
    </row>
    <row r="243" spans="1:184" x14ac:dyDescent="0.3">
      <c r="A243">
        <v>22879465</v>
      </c>
      <c r="B243">
        <v>841105</v>
      </c>
      <c r="C243" t="str">
        <f>"160117600235"</f>
        <v>160117600235</v>
      </c>
      <c r="D243" t="s">
        <v>966</v>
      </c>
      <c r="E243" t="s">
        <v>967</v>
      </c>
      <c r="F243" t="s">
        <v>968</v>
      </c>
      <c r="G243" s="1">
        <v>42386</v>
      </c>
      <c r="I243" t="s">
        <v>199</v>
      </c>
      <c r="J243" t="s">
        <v>200</v>
      </c>
      <c r="K243" t="s">
        <v>201</v>
      </c>
      <c r="R243" t="str">
        <f>"КАЗАХСТАН, АКМОЛИНСКАЯ, СТЕПНОГОРСК, 13, 38"</f>
        <v>КАЗАХСТАН, АКМОЛИНСКАЯ, СТЕПНОГОРСК, 13, 38</v>
      </c>
      <c r="S243" t="str">
        <f>"ҚАЗАҚСТАН, АҚМОЛА, СТЕПНОГОР, 13, 38"</f>
        <v>ҚАЗАҚСТАН, АҚМОЛА, СТЕПНОГОР, 13, 38</v>
      </c>
      <c r="T243" t="str">
        <f>"13, 38"</f>
        <v>13, 38</v>
      </c>
      <c r="U243" t="str">
        <f>"13, 38"</f>
        <v>13, 38</v>
      </c>
      <c r="AC243" t="str">
        <f>"2022-08-25T00:00:00"</f>
        <v>2022-08-25T00:00:00</v>
      </c>
      <c r="AD243" t="str">
        <f>"120"</f>
        <v>120</v>
      </c>
      <c r="AE243" t="str">
        <f>"2023-09-01T17:45:10"</f>
        <v>2023-09-01T17:45:10</v>
      </c>
      <c r="AF243" t="str">
        <f>"2024-05-25T17:45:10"</f>
        <v>2024-05-25T17:45:10</v>
      </c>
      <c r="AG243" t="s">
        <v>202</v>
      </c>
      <c r="AI243" t="s">
        <v>269</v>
      </c>
      <c r="AJ243" t="s">
        <v>570</v>
      </c>
      <c r="AK243" t="s">
        <v>253</v>
      </c>
      <c r="AL243" t="s">
        <v>206</v>
      </c>
      <c r="AN243" t="s">
        <v>254</v>
      </c>
      <c r="AO243">
        <v>2</v>
      </c>
      <c r="AP243" t="s">
        <v>208</v>
      </c>
      <c r="AQ243" t="s">
        <v>209</v>
      </c>
      <c r="AR243" t="s">
        <v>502</v>
      </c>
      <c r="AW243" t="s">
        <v>212</v>
      </c>
      <c r="AZ243" t="s">
        <v>209</v>
      </c>
      <c r="BI243" t="s">
        <v>212</v>
      </c>
      <c r="BJ243" t="s">
        <v>213</v>
      </c>
      <c r="BK243" t="s">
        <v>214</v>
      </c>
      <c r="BL243" t="s">
        <v>357</v>
      </c>
      <c r="BN243" t="s">
        <v>281</v>
      </c>
      <c r="BO243" t="s">
        <v>209</v>
      </c>
      <c r="BP243" t="s">
        <v>241</v>
      </c>
      <c r="BQ243">
        <v>5</v>
      </c>
      <c r="BS243" t="s">
        <v>220</v>
      </c>
      <c r="BU243" t="s">
        <v>212</v>
      </c>
      <c r="BZ243" t="s">
        <v>623</v>
      </c>
      <c r="CA243" t="s">
        <v>287</v>
      </c>
      <c r="CC243" t="s">
        <v>224</v>
      </c>
      <c r="CD243" t="s">
        <v>349</v>
      </c>
      <c r="CE243" t="s">
        <v>242</v>
      </c>
      <c r="CJ243" t="s">
        <v>206</v>
      </c>
      <c r="CK243" t="s">
        <v>230</v>
      </c>
      <c r="CL243" t="s">
        <v>231</v>
      </c>
      <c r="CM243" t="s">
        <v>232</v>
      </c>
      <c r="CN243" t="s">
        <v>233</v>
      </c>
      <c r="CP243" t="s">
        <v>212</v>
      </c>
      <c r="CQ243" t="s">
        <v>212</v>
      </c>
      <c r="CR243" t="s">
        <v>212</v>
      </c>
      <c r="CS243" t="s">
        <v>212</v>
      </c>
      <c r="CY243" t="s">
        <v>212</v>
      </c>
      <c r="DB243" t="s">
        <v>234</v>
      </c>
      <c r="DE243" t="s">
        <v>212</v>
      </c>
      <c r="DF243" t="s">
        <v>212</v>
      </c>
      <c r="DG243" t="s">
        <v>235</v>
      </c>
      <c r="DH243" t="s">
        <v>212</v>
      </c>
      <c r="DJ243" t="s">
        <v>236</v>
      </c>
      <c r="DM243" t="s">
        <v>212</v>
      </c>
    </row>
    <row r="244" spans="1:184" x14ac:dyDescent="0.3">
      <c r="A244">
        <v>22879619</v>
      </c>
      <c r="B244">
        <v>7391164</v>
      </c>
      <c r="C244" t="str">
        <f>"161031501113"</f>
        <v>161031501113</v>
      </c>
      <c r="D244" t="s">
        <v>969</v>
      </c>
      <c r="E244" t="s">
        <v>970</v>
      </c>
      <c r="F244" t="s">
        <v>971</v>
      </c>
      <c r="G244" s="1">
        <v>42674</v>
      </c>
      <c r="I244" t="s">
        <v>240</v>
      </c>
      <c r="J244" t="s">
        <v>200</v>
      </c>
      <c r="K244" t="s">
        <v>201</v>
      </c>
      <c r="R244" t="str">
        <f>"КАЗАХСТАН, АКМОЛИНСКАЯ, СТЕПНОГОРСК, 67, 46"</f>
        <v>КАЗАХСТАН, АКМОЛИНСКАЯ, СТЕПНОГОРСК, 67, 46</v>
      </c>
      <c r="S244" t="str">
        <f>"ҚАЗАҚСТАН, АҚМОЛА, СТЕПНОГОР, 67, 46"</f>
        <v>ҚАЗАҚСТАН, АҚМОЛА, СТЕПНОГОР, 67, 46</v>
      </c>
      <c r="T244" t="str">
        <f>"67, 46"</f>
        <v>67, 46</v>
      </c>
      <c r="U244" t="str">
        <f>"67, 46"</f>
        <v>67, 46</v>
      </c>
      <c r="AC244" t="str">
        <f>"2022-08-25T00:00:00"</f>
        <v>2022-08-25T00:00:00</v>
      </c>
      <c r="AD244" t="str">
        <f>"120"</f>
        <v>120</v>
      </c>
      <c r="AE244" t="str">
        <f>"2023-09-01T17:16:34"</f>
        <v>2023-09-01T17:16:34</v>
      </c>
      <c r="AF244" t="str">
        <f>"2024-05-25T17:16:34"</f>
        <v>2024-05-25T17:16:34</v>
      </c>
      <c r="AG244" t="s">
        <v>202</v>
      </c>
      <c r="AI244" t="s">
        <v>299</v>
      </c>
      <c r="AJ244" t="s">
        <v>570</v>
      </c>
      <c r="AK244" t="s">
        <v>434</v>
      </c>
      <c r="AL244" t="s">
        <v>206</v>
      </c>
      <c r="AN244" t="s">
        <v>254</v>
      </c>
      <c r="AO244">
        <v>2</v>
      </c>
      <c r="AP244" t="s">
        <v>208</v>
      </c>
      <c r="AQ244" t="s">
        <v>209</v>
      </c>
      <c r="AR244" t="s">
        <v>502</v>
      </c>
      <c r="AW244" t="s">
        <v>212</v>
      </c>
      <c r="AZ244" t="s">
        <v>209</v>
      </c>
      <c r="BI244" t="s">
        <v>212</v>
      </c>
      <c r="BJ244" t="s">
        <v>213</v>
      </c>
      <c r="BK244" t="s">
        <v>214</v>
      </c>
      <c r="BL244" t="s">
        <v>357</v>
      </c>
      <c r="BN244" t="s">
        <v>281</v>
      </c>
      <c r="BO244" t="s">
        <v>209</v>
      </c>
      <c r="BP244" t="s">
        <v>241</v>
      </c>
      <c r="BQ244">
        <v>5</v>
      </c>
      <c r="BS244" t="s">
        <v>220</v>
      </c>
      <c r="BU244" t="s">
        <v>212</v>
      </c>
      <c r="BZ244" t="s">
        <v>571</v>
      </c>
      <c r="CA244" t="s">
        <v>287</v>
      </c>
      <c r="CC244" t="s">
        <v>222</v>
      </c>
      <c r="CD244" t="s">
        <v>223</v>
      </c>
      <c r="CE244" t="s">
        <v>342</v>
      </c>
      <c r="CF244" t="s">
        <v>610</v>
      </c>
      <c r="CG244" t="s">
        <v>343</v>
      </c>
      <c r="CH244" t="s">
        <v>627</v>
      </c>
      <c r="CI244" t="s">
        <v>628</v>
      </c>
      <c r="CJ244" t="s">
        <v>206</v>
      </c>
      <c r="CK244" t="s">
        <v>230</v>
      </c>
      <c r="CL244" t="s">
        <v>231</v>
      </c>
      <c r="CM244" t="s">
        <v>232</v>
      </c>
      <c r="CN244" t="s">
        <v>233</v>
      </c>
      <c r="CP244" t="s">
        <v>212</v>
      </c>
      <c r="CQ244" t="s">
        <v>212</v>
      </c>
      <c r="CR244" t="s">
        <v>212</v>
      </c>
      <c r="CS244" t="s">
        <v>212</v>
      </c>
      <c r="CY244" t="s">
        <v>212</v>
      </c>
      <c r="DB244" t="s">
        <v>234</v>
      </c>
      <c r="DE244" t="s">
        <v>212</v>
      </c>
      <c r="DF244" t="s">
        <v>212</v>
      </c>
      <c r="DG244" t="s">
        <v>235</v>
      </c>
      <c r="DH244" t="s">
        <v>212</v>
      </c>
      <c r="DJ244" t="s">
        <v>236</v>
      </c>
      <c r="DM244" t="s">
        <v>212</v>
      </c>
    </row>
    <row r="245" spans="1:184" x14ac:dyDescent="0.3">
      <c r="A245">
        <v>15758813</v>
      </c>
      <c r="B245">
        <v>7299220</v>
      </c>
      <c r="C245" t="str">
        <f>"140611500756"</f>
        <v>140611500756</v>
      </c>
      <c r="D245" t="s">
        <v>972</v>
      </c>
      <c r="E245" t="s">
        <v>552</v>
      </c>
      <c r="F245" t="s">
        <v>955</v>
      </c>
      <c r="G245" s="1">
        <v>41801</v>
      </c>
      <c r="I245" t="s">
        <v>240</v>
      </c>
      <c r="J245" t="s">
        <v>200</v>
      </c>
      <c r="K245" t="s">
        <v>201</v>
      </c>
      <c r="R245" t="str">
        <f>"КАЗАХСТАН, АКМОЛИНСКАЯ, СТЕПНОГОРСК, 12, 12"</f>
        <v>КАЗАХСТАН, АКМОЛИНСКАЯ, СТЕПНОГОРСК, 12, 12</v>
      </c>
      <c r="S245" t="str">
        <f>"ҚАЗАҚСТАН, АҚМОЛА, СТЕПНОГОР, 12, 12"</f>
        <v>ҚАЗАҚСТАН, АҚМОЛА, СТЕПНОГОР, 12, 12</v>
      </c>
      <c r="T245" t="str">
        <f>"12, 12"</f>
        <v>12, 12</v>
      </c>
      <c r="U245" t="str">
        <f>"12, 12"</f>
        <v>12, 12</v>
      </c>
      <c r="AC245" t="str">
        <f>"2020-08-25T00:00:00"</f>
        <v>2020-08-25T00:00:00</v>
      </c>
      <c r="AD245" t="str">
        <f>"145"</f>
        <v>145</v>
      </c>
      <c r="AG245" t="s">
        <v>202</v>
      </c>
      <c r="AI245" t="s">
        <v>203</v>
      </c>
      <c r="AJ245" t="s">
        <v>540</v>
      </c>
      <c r="AK245" t="s">
        <v>261</v>
      </c>
      <c r="AL245" t="s">
        <v>206</v>
      </c>
      <c r="AN245" t="s">
        <v>207</v>
      </c>
      <c r="AO245">
        <v>2</v>
      </c>
      <c r="AP245" t="s">
        <v>208</v>
      </c>
      <c r="AQ245" t="s">
        <v>209</v>
      </c>
      <c r="AR245" t="s">
        <v>502</v>
      </c>
      <c r="AW245" t="s">
        <v>212</v>
      </c>
      <c r="AZ245" t="s">
        <v>209</v>
      </c>
      <c r="BI245" t="s">
        <v>212</v>
      </c>
      <c r="BJ245" t="s">
        <v>213</v>
      </c>
      <c r="BK245" t="s">
        <v>214</v>
      </c>
      <c r="BL245" t="s">
        <v>357</v>
      </c>
      <c r="BN245" t="s">
        <v>216</v>
      </c>
      <c r="BO245" t="s">
        <v>209</v>
      </c>
      <c r="BP245" t="s">
        <v>241</v>
      </c>
      <c r="BQ245">
        <v>4</v>
      </c>
      <c r="BS245" t="s">
        <v>219</v>
      </c>
      <c r="BT245" t="s">
        <v>220</v>
      </c>
      <c r="BU245" t="s">
        <v>206</v>
      </c>
      <c r="BX245" t="s">
        <v>221</v>
      </c>
      <c r="BY245" t="s">
        <v>221</v>
      </c>
      <c r="BZ245" t="s">
        <v>541</v>
      </c>
      <c r="CA245" t="s">
        <v>287</v>
      </c>
      <c r="CC245" t="s">
        <v>222</v>
      </c>
      <c r="CD245" t="s">
        <v>223</v>
      </c>
      <c r="CE245" t="s">
        <v>242</v>
      </c>
      <c r="CJ245" t="s">
        <v>206</v>
      </c>
      <c r="CK245" t="s">
        <v>230</v>
      </c>
      <c r="CL245" t="s">
        <v>231</v>
      </c>
      <c r="CM245" t="s">
        <v>232</v>
      </c>
      <c r="CN245" t="s">
        <v>233</v>
      </c>
      <c r="CP245" t="s">
        <v>212</v>
      </c>
      <c r="CQ245" t="s">
        <v>212</v>
      </c>
      <c r="CR245" t="s">
        <v>212</v>
      </c>
      <c r="CS245" t="s">
        <v>212</v>
      </c>
      <c r="CY245" t="s">
        <v>212</v>
      </c>
      <c r="DB245" t="s">
        <v>234</v>
      </c>
      <c r="DE245" t="s">
        <v>212</v>
      </c>
      <c r="DF245" t="s">
        <v>212</v>
      </c>
      <c r="DG245" t="s">
        <v>235</v>
      </c>
      <c r="DH245" t="s">
        <v>212</v>
      </c>
      <c r="DJ245" t="s">
        <v>236</v>
      </c>
      <c r="DM245" t="s">
        <v>212</v>
      </c>
      <c r="GB245" t="s">
        <v>206</v>
      </c>
    </row>
    <row r="246" spans="1:184" x14ac:dyDescent="0.3">
      <c r="A246">
        <v>23569621</v>
      </c>
      <c r="B246">
        <v>192610</v>
      </c>
      <c r="C246" t="str">
        <f>"100303653167"</f>
        <v>100303653167</v>
      </c>
      <c r="D246" t="s">
        <v>973</v>
      </c>
      <c r="E246" t="s">
        <v>516</v>
      </c>
      <c r="F246" t="s">
        <v>400</v>
      </c>
      <c r="G246" s="1">
        <v>40240</v>
      </c>
      <c r="I246" t="s">
        <v>199</v>
      </c>
      <c r="J246" t="s">
        <v>200</v>
      </c>
      <c r="K246" t="s">
        <v>260</v>
      </c>
      <c r="Q246" t="s">
        <v>212</v>
      </c>
      <c r="R246" t="str">
        <f>"КАЗАХСТАН, АКМОЛИНСКАЯ, СТЕПНОГОРСК, 12, 174"</f>
        <v>КАЗАХСТАН, АКМОЛИНСКАЯ, СТЕПНОГОРСК, 12, 174</v>
      </c>
      <c r="S246" t="str">
        <f>"ҚАЗАҚСТАН, АҚМОЛА, СТЕПНОГОР, 12, 174"</f>
        <v>ҚАЗАҚСТАН, АҚМОЛА, СТЕПНОГОР, 12, 174</v>
      </c>
      <c r="T246" t="str">
        <f>"12, 174"</f>
        <v>12, 174</v>
      </c>
      <c r="U246" t="str">
        <f>"12, 174"</f>
        <v>12, 174</v>
      </c>
      <c r="AC246" t="str">
        <f>"2022-09-05T00:00:00"</f>
        <v>2022-09-05T00:00:00</v>
      </c>
      <c r="AD246" t="str">
        <f>"134"</f>
        <v>134</v>
      </c>
      <c r="AG246" t="s">
        <v>202</v>
      </c>
      <c r="AI246" t="s">
        <v>203</v>
      </c>
      <c r="AJ246" t="s">
        <v>300</v>
      </c>
      <c r="AK246" t="s">
        <v>205</v>
      </c>
      <c r="AL246" t="s">
        <v>206</v>
      </c>
      <c r="AN246" t="s">
        <v>207</v>
      </c>
      <c r="AO246">
        <v>1</v>
      </c>
      <c r="AP246" t="s">
        <v>208</v>
      </c>
      <c r="AQ246" t="s">
        <v>209</v>
      </c>
      <c r="AR246" t="s">
        <v>210</v>
      </c>
      <c r="AW246" t="s">
        <v>206</v>
      </c>
      <c r="AX246" t="s">
        <v>211</v>
      </c>
      <c r="AZ246" t="s">
        <v>209</v>
      </c>
      <c r="BI246" t="s">
        <v>212</v>
      </c>
      <c r="BJ246" t="s">
        <v>213</v>
      </c>
      <c r="BK246" t="s">
        <v>214</v>
      </c>
      <c r="BL246" t="s">
        <v>215</v>
      </c>
      <c r="BN246" t="s">
        <v>216</v>
      </c>
      <c r="BO246" t="s">
        <v>209</v>
      </c>
      <c r="BP246" t="s">
        <v>241</v>
      </c>
      <c r="BQ246">
        <v>4</v>
      </c>
      <c r="BS246" t="s">
        <v>219</v>
      </c>
      <c r="BT246" t="s">
        <v>220</v>
      </c>
      <c r="BU246" t="s">
        <v>206</v>
      </c>
      <c r="CA246" t="s">
        <v>287</v>
      </c>
      <c r="CC246" t="s">
        <v>353</v>
      </c>
      <c r="CD246" t="s">
        <v>223</v>
      </c>
      <c r="CE246" t="s">
        <v>242</v>
      </c>
      <c r="CJ246" t="s">
        <v>206</v>
      </c>
      <c r="CK246" t="s">
        <v>230</v>
      </c>
      <c r="CL246" t="s">
        <v>231</v>
      </c>
      <c r="CM246" t="s">
        <v>232</v>
      </c>
      <c r="CN246" t="s">
        <v>233</v>
      </c>
      <c r="CP246" t="s">
        <v>212</v>
      </c>
      <c r="CQ246" t="s">
        <v>212</v>
      </c>
      <c r="CR246" t="s">
        <v>212</v>
      </c>
      <c r="CS246" t="s">
        <v>212</v>
      </c>
      <c r="CY246" t="s">
        <v>212</v>
      </c>
      <c r="DB246" t="s">
        <v>234</v>
      </c>
      <c r="DE246" t="s">
        <v>212</v>
      </c>
      <c r="DF246" t="s">
        <v>212</v>
      </c>
      <c r="DG246" t="s">
        <v>235</v>
      </c>
      <c r="DH246" t="s">
        <v>212</v>
      </c>
      <c r="DJ246" t="s">
        <v>236</v>
      </c>
      <c r="DM246" t="s">
        <v>212</v>
      </c>
    </row>
    <row r="247" spans="1:184" x14ac:dyDescent="0.3">
      <c r="A247">
        <v>15740643</v>
      </c>
      <c r="B247">
        <v>784331</v>
      </c>
      <c r="C247" t="str">
        <f>"141111600589"</f>
        <v>141111600589</v>
      </c>
      <c r="D247" t="s">
        <v>974</v>
      </c>
      <c r="E247" t="s">
        <v>975</v>
      </c>
      <c r="F247" t="s">
        <v>976</v>
      </c>
      <c r="G247" s="1">
        <v>41954</v>
      </c>
      <c r="I247" t="s">
        <v>199</v>
      </c>
      <c r="J247" t="s">
        <v>200</v>
      </c>
      <c r="K247" t="s">
        <v>201</v>
      </c>
      <c r="Q247" t="s">
        <v>212</v>
      </c>
      <c r="R247" t="str">
        <f>"КАЗАХСТАН, АКМОЛИНСКАЯ, СТЕПНОГОРСК, 33, 14"</f>
        <v>КАЗАХСТАН, АКМОЛИНСКАЯ, СТЕПНОГОРСК, 33, 14</v>
      </c>
      <c r="S247" t="str">
        <f>"ҚАЗАҚСТАН, АҚМОЛА, СТЕПНОГОР, 33, 14"</f>
        <v>ҚАЗАҚСТАН, АҚМОЛА, СТЕПНОГОР, 33, 14</v>
      </c>
      <c r="T247" t="str">
        <f>"33, 14"</f>
        <v>33, 14</v>
      </c>
      <c r="U247" t="str">
        <f>"33, 14"</f>
        <v>33, 14</v>
      </c>
      <c r="AC247" t="str">
        <f>"2020-07-27T04:42:00"</f>
        <v>2020-07-27T04:42:00</v>
      </c>
      <c r="AD247" t="str">
        <f>"102"</f>
        <v>102</v>
      </c>
      <c r="AG247" t="s">
        <v>202</v>
      </c>
      <c r="AI247" t="s">
        <v>203</v>
      </c>
      <c r="AJ247" t="s">
        <v>501</v>
      </c>
      <c r="AK247" t="s">
        <v>205</v>
      </c>
      <c r="AL247" t="s">
        <v>206</v>
      </c>
      <c r="AN247" t="s">
        <v>207</v>
      </c>
      <c r="AO247">
        <v>1</v>
      </c>
      <c r="AP247" t="s">
        <v>208</v>
      </c>
      <c r="AQ247" t="s">
        <v>209</v>
      </c>
      <c r="AR247" t="s">
        <v>502</v>
      </c>
      <c r="AW247" t="s">
        <v>212</v>
      </c>
      <c r="AZ247" t="s">
        <v>209</v>
      </c>
      <c r="BI247" t="s">
        <v>212</v>
      </c>
      <c r="BJ247" t="s">
        <v>213</v>
      </c>
      <c r="BK247" t="s">
        <v>214</v>
      </c>
      <c r="BL247" t="s">
        <v>357</v>
      </c>
      <c r="BN247" t="s">
        <v>216</v>
      </c>
      <c r="BO247" t="s">
        <v>209</v>
      </c>
      <c r="BP247" t="s">
        <v>241</v>
      </c>
      <c r="BQ247">
        <v>4</v>
      </c>
      <c r="BS247" t="s">
        <v>219</v>
      </c>
      <c r="BT247" t="s">
        <v>220</v>
      </c>
      <c r="BU247" t="s">
        <v>206</v>
      </c>
      <c r="BX247" t="s">
        <v>221</v>
      </c>
      <c r="BY247" t="s">
        <v>221</v>
      </c>
      <c r="BZ247" t="s">
        <v>503</v>
      </c>
      <c r="CA247" t="s">
        <v>287</v>
      </c>
      <c r="CC247" t="s">
        <v>222</v>
      </c>
      <c r="CD247" t="s">
        <v>223</v>
      </c>
      <c r="CE247" t="s">
        <v>242</v>
      </c>
      <c r="CJ247" t="s">
        <v>206</v>
      </c>
      <c r="CK247" t="s">
        <v>230</v>
      </c>
      <c r="CL247" t="s">
        <v>231</v>
      </c>
      <c r="CM247" t="s">
        <v>232</v>
      </c>
      <c r="CN247" t="s">
        <v>233</v>
      </c>
      <c r="CP247" t="s">
        <v>212</v>
      </c>
      <c r="CQ247" t="s">
        <v>212</v>
      </c>
      <c r="CR247" t="s">
        <v>212</v>
      </c>
      <c r="CS247" t="s">
        <v>212</v>
      </c>
      <c r="CY247" t="s">
        <v>212</v>
      </c>
      <c r="DB247" t="s">
        <v>234</v>
      </c>
      <c r="DE247" t="s">
        <v>212</v>
      </c>
      <c r="DF247" t="s">
        <v>212</v>
      </c>
      <c r="DG247" t="s">
        <v>235</v>
      </c>
      <c r="DH247" t="s">
        <v>212</v>
      </c>
      <c r="DJ247" t="s">
        <v>236</v>
      </c>
      <c r="DM247" t="s">
        <v>212</v>
      </c>
    </row>
    <row r="248" spans="1:184" x14ac:dyDescent="0.3">
      <c r="A248">
        <v>15740639</v>
      </c>
      <c r="B248">
        <v>781725</v>
      </c>
      <c r="C248" t="str">
        <f>"141211502354"</f>
        <v>141211502354</v>
      </c>
      <c r="D248" t="s">
        <v>977</v>
      </c>
      <c r="E248" t="s">
        <v>978</v>
      </c>
      <c r="F248" t="s">
        <v>290</v>
      </c>
      <c r="G248" s="1">
        <v>41984</v>
      </c>
      <c r="I248" t="s">
        <v>240</v>
      </c>
      <c r="J248" t="s">
        <v>200</v>
      </c>
      <c r="K248" t="s">
        <v>260</v>
      </c>
      <c r="Q248" t="s">
        <v>212</v>
      </c>
      <c r="R248" t="str">
        <f>"КАЗАХСТАН, АКМОЛИНСКАЯ, СТЕПНОГОРСК, 85, 107"</f>
        <v>КАЗАХСТАН, АКМОЛИНСКАЯ, СТЕПНОГОРСК, 85, 107</v>
      </c>
      <c r="S248" t="str">
        <f>"ҚАЗАҚСТАН, АҚМОЛА, СТЕПНОГОР, 85, 107"</f>
        <v>ҚАЗАҚСТАН, АҚМОЛА, СТЕПНОГОР, 85, 107</v>
      </c>
      <c r="T248" t="str">
        <f>"85, 107"</f>
        <v>85, 107</v>
      </c>
      <c r="U248" t="str">
        <f>"85, 107"</f>
        <v>85, 107</v>
      </c>
      <c r="AC248" t="str">
        <f>"2020-06-08T04:33:00"</f>
        <v>2020-06-08T04:33:00</v>
      </c>
      <c r="AD248" t="str">
        <f>"86"</f>
        <v>86</v>
      </c>
      <c r="AG248" t="s">
        <v>202</v>
      </c>
      <c r="AI248" t="s">
        <v>203</v>
      </c>
      <c r="AJ248" t="s">
        <v>501</v>
      </c>
      <c r="AK248" t="s">
        <v>261</v>
      </c>
      <c r="AL248" t="s">
        <v>206</v>
      </c>
      <c r="AN248" t="s">
        <v>207</v>
      </c>
      <c r="AO248">
        <v>1</v>
      </c>
      <c r="AP248" t="s">
        <v>208</v>
      </c>
      <c r="AQ248" t="s">
        <v>209</v>
      </c>
      <c r="AR248" t="s">
        <v>502</v>
      </c>
      <c r="AW248" t="s">
        <v>212</v>
      </c>
      <c r="AZ248" t="s">
        <v>209</v>
      </c>
      <c r="BI248" t="s">
        <v>212</v>
      </c>
      <c r="BJ248" t="s">
        <v>213</v>
      </c>
      <c r="BK248" t="s">
        <v>214</v>
      </c>
      <c r="BL248" t="s">
        <v>357</v>
      </c>
      <c r="BN248" t="s">
        <v>216</v>
      </c>
      <c r="BO248" t="s">
        <v>209</v>
      </c>
      <c r="BP248" t="s">
        <v>241</v>
      </c>
      <c r="BQ248">
        <v>4</v>
      </c>
      <c r="BS248" t="s">
        <v>219</v>
      </c>
      <c r="BT248" t="s">
        <v>220</v>
      </c>
      <c r="BU248" t="s">
        <v>206</v>
      </c>
      <c r="BX248" t="s">
        <v>221</v>
      </c>
      <c r="BY248" t="s">
        <v>221</v>
      </c>
      <c r="BZ248" t="s">
        <v>503</v>
      </c>
      <c r="CA248" t="s">
        <v>287</v>
      </c>
      <c r="CC248" t="s">
        <v>222</v>
      </c>
      <c r="CD248" t="s">
        <v>223</v>
      </c>
      <c r="CE248" t="s">
        <v>242</v>
      </c>
      <c r="CJ248" t="s">
        <v>206</v>
      </c>
      <c r="CK248" t="s">
        <v>230</v>
      </c>
      <c r="CL248" t="s">
        <v>231</v>
      </c>
      <c r="CM248" t="s">
        <v>232</v>
      </c>
      <c r="CN248" t="s">
        <v>233</v>
      </c>
      <c r="CP248" t="s">
        <v>212</v>
      </c>
      <c r="CQ248" t="s">
        <v>212</v>
      </c>
      <c r="CR248" t="s">
        <v>212</v>
      </c>
      <c r="CS248" t="s">
        <v>212</v>
      </c>
      <c r="CY248" t="s">
        <v>212</v>
      </c>
      <c r="DB248" t="s">
        <v>234</v>
      </c>
      <c r="DE248" t="s">
        <v>212</v>
      </c>
      <c r="DF248" t="s">
        <v>212</v>
      </c>
      <c r="DG248" t="s">
        <v>235</v>
      </c>
      <c r="DH248" t="s">
        <v>212</v>
      </c>
      <c r="DJ248" t="s">
        <v>236</v>
      </c>
      <c r="DM248" t="s">
        <v>212</v>
      </c>
    </row>
    <row r="249" spans="1:184" x14ac:dyDescent="0.3">
      <c r="A249">
        <v>24121962</v>
      </c>
      <c r="B249">
        <v>838722</v>
      </c>
      <c r="C249" t="str">
        <f>"131230601919"</f>
        <v>131230601919</v>
      </c>
      <c r="D249" t="s">
        <v>807</v>
      </c>
      <c r="E249" t="s">
        <v>492</v>
      </c>
      <c r="G249" s="1">
        <v>41638</v>
      </c>
      <c r="I249" t="s">
        <v>199</v>
      </c>
      <c r="J249" t="s">
        <v>200</v>
      </c>
      <c r="K249" t="s">
        <v>201</v>
      </c>
      <c r="R249" t="str">
        <f>"КАЗАХСТАН, АЛМАТИНСКАЯ, ЖАМБЫЛСКИЙ РАЙОН, Шолаккаргалинский, Умбетали Карибаев, 2Б"</f>
        <v>КАЗАХСТАН, АЛМАТИНСКАЯ, ЖАМБЫЛСКИЙ РАЙОН, Шолаккаргалинский, Умбетали Карибаев, 2Б</v>
      </c>
      <c r="S249" t="str">
        <f>"ҚАЗАҚСТАН, АЛМАТЫ, ЖАМБЫЛ АУДАНЫ, Шолаккаргалинский, Умбетали Карибаев, 2Б"</f>
        <v>ҚАЗАҚСТАН, АЛМАТЫ, ЖАМБЫЛ АУДАНЫ, Шолаккаргалинский, Умбетали Карибаев, 2Б</v>
      </c>
      <c r="T249" t="str">
        <f>"Шолаккаргалинский, Умбетали Карибаев, 2Б"</f>
        <v>Шолаккаргалинский, Умбетали Карибаев, 2Б</v>
      </c>
      <c r="U249" t="str">
        <f>"Шолаккаргалинский, Умбетали Карибаев, 2Б"</f>
        <v>Шолаккаргалинский, Умбетали Карибаев, 2Б</v>
      </c>
      <c r="AC249" t="str">
        <f>"2022-10-03T00:00:00"</f>
        <v>2022-10-03T00:00:00</v>
      </c>
      <c r="AD249" t="str">
        <f>"154"</f>
        <v>154</v>
      </c>
      <c r="AG249" t="s">
        <v>646</v>
      </c>
      <c r="AI249" t="s">
        <v>269</v>
      </c>
      <c r="AJ249" t="s">
        <v>501</v>
      </c>
      <c r="AK249" t="s">
        <v>253</v>
      </c>
      <c r="AL249" t="s">
        <v>206</v>
      </c>
      <c r="AN249" t="s">
        <v>254</v>
      </c>
      <c r="AO249">
        <v>1</v>
      </c>
      <c r="AP249" t="s">
        <v>208</v>
      </c>
      <c r="AQ249" t="s">
        <v>209</v>
      </c>
      <c r="AR249" t="s">
        <v>502</v>
      </c>
      <c r="AW249" t="s">
        <v>212</v>
      </c>
      <c r="AZ249" t="s">
        <v>209</v>
      </c>
      <c r="BI249" t="s">
        <v>212</v>
      </c>
      <c r="BJ249" t="s">
        <v>213</v>
      </c>
      <c r="BK249" t="s">
        <v>214</v>
      </c>
      <c r="BL249" t="s">
        <v>357</v>
      </c>
      <c r="BN249" t="s">
        <v>247</v>
      </c>
      <c r="BO249" t="s">
        <v>209</v>
      </c>
      <c r="BP249" t="s">
        <v>415</v>
      </c>
      <c r="BQ249" t="s">
        <v>673</v>
      </c>
      <c r="BS249" t="s">
        <v>219</v>
      </c>
      <c r="BT249" t="s">
        <v>220</v>
      </c>
      <c r="BU249" t="s">
        <v>206</v>
      </c>
      <c r="BZ249" t="s">
        <v>503</v>
      </c>
      <c r="CA249" t="s">
        <v>979</v>
      </c>
      <c r="CB249" t="s">
        <v>223</v>
      </c>
      <c r="CC249" t="s">
        <v>222</v>
      </c>
      <c r="CD249" t="s">
        <v>223</v>
      </c>
      <c r="CE249" t="s">
        <v>242</v>
      </c>
      <c r="CJ249" t="s">
        <v>206</v>
      </c>
      <c r="CK249" t="s">
        <v>230</v>
      </c>
      <c r="CL249" t="s">
        <v>231</v>
      </c>
      <c r="CM249" t="s">
        <v>232</v>
      </c>
      <c r="CN249" t="s">
        <v>233</v>
      </c>
      <c r="CP249" t="s">
        <v>212</v>
      </c>
      <c r="CQ249" t="s">
        <v>212</v>
      </c>
      <c r="CR249" t="s">
        <v>212</v>
      </c>
      <c r="CS249" t="s">
        <v>212</v>
      </c>
      <c r="CY249" t="s">
        <v>212</v>
      </c>
      <c r="DB249" t="s">
        <v>234</v>
      </c>
      <c r="DE249" t="s">
        <v>212</v>
      </c>
      <c r="DF249" t="s">
        <v>212</v>
      </c>
      <c r="DG249" t="s">
        <v>235</v>
      </c>
      <c r="DH249" t="s">
        <v>212</v>
      </c>
      <c r="DJ249" t="s">
        <v>236</v>
      </c>
      <c r="DM249" t="s">
        <v>206</v>
      </c>
    </row>
    <row r="250" spans="1:184" x14ac:dyDescent="0.3">
      <c r="A250">
        <v>24182848</v>
      </c>
      <c r="B250">
        <v>11910300</v>
      </c>
      <c r="C250" t="str">
        <f>"130520050010"</f>
        <v>130520050010</v>
      </c>
      <c r="D250" t="s">
        <v>980</v>
      </c>
      <c r="E250" t="s">
        <v>981</v>
      </c>
      <c r="F250" t="s">
        <v>982</v>
      </c>
      <c r="G250" s="1">
        <v>41414</v>
      </c>
      <c r="I250" t="s">
        <v>240</v>
      </c>
      <c r="J250" t="s">
        <v>757</v>
      </c>
      <c r="K250" t="s">
        <v>201</v>
      </c>
      <c r="L250" t="s">
        <v>212</v>
      </c>
      <c r="Q250" t="s">
        <v>206</v>
      </c>
      <c r="R250" t="str">
        <f>"-"</f>
        <v>-</v>
      </c>
      <c r="S250" t="str">
        <f>"-"</f>
        <v>-</v>
      </c>
      <c r="T250" t="str">
        <f>"-"</f>
        <v>-</v>
      </c>
      <c r="U250" t="str">
        <f>"-"</f>
        <v>-</v>
      </c>
      <c r="AC250" t="str">
        <f>"2022-09-27T00:00:00"</f>
        <v>2022-09-27T00:00:00</v>
      </c>
      <c r="AD250" t="str">
        <f>"152/1"</f>
        <v>152/1</v>
      </c>
      <c r="AE250" t="str">
        <f>"2023-09-01T17:54:50"</f>
        <v>2023-09-01T17:54:50</v>
      </c>
      <c r="AF250" t="str">
        <f>"2024-05-25T17:54:50"</f>
        <v>2024-05-25T17:54:50</v>
      </c>
      <c r="AG250" t="s">
        <v>202</v>
      </c>
      <c r="AI250" t="s">
        <v>274</v>
      </c>
      <c r="AJ250" t="s">
        <v>419</v>
      </c>
      <c r="AK250" t="s">
        <v>253</v>
      </c>
      <c r="AL250" t="s">
        <v>206</v>
      </c>
      <c r="AN250" t="s">
        <v>254</v>
      </c>
      <c r="AO250">
        <v>1</v>
      </c>
      <c r="AP250" t="s">
        <v>208</v>
      </c>
      <c r="AQ250" t="s">
        <v>209</v>
      </c>
      <c r="AR250" t="s">
        <v>210</v>
      </c>
      <c r="AW250" t="s">
        <v>206</v>
      </c>
      <c r="AX250" t="s">
        <v>211</v>
      </c>
      <c r="AZ250" t="s">
        <v>209</v>
      </c>
      <c r="BI250" t="s">
        <v>212</v>
      </c>
      <c r="BJ250" t="s">
        <v>213</v>
      </c>
      <c r="BK250" t="s">
        <v>214</v>
      </c>
      <c r="BL250" t="s">
        <v>215</v>
      </c>
      <c r="BN250" t="s">
        <v>216</v>
      </c>
      <c r="BO250" t="s">
        <v>209</v>
      </c>
      <c r="BP250" t="s">
        <v>983</v>
      </c>
      <c r="BQ250">
        <v>4</v>
      </c>
      <c r="BS250" t="s">
        <v>219</v>
      </c>
      <c r="BT250" t="s">
        <v>220</v>
      </c>
      <c r="BU250" t="s">
        <v>206</v>
      </c>
      <c r="CA250" t="s">
        <v>249</v>
      </c>
      <c r="CB250" t="s">
        <v>223</v>
      </c>
      <c r="CC250" t="s">
        <v>222</v>
      </c>
      <c r="CD250" t="s">
        <v>223</v>
      </c>
      <c r="CE250" t="s">
        <v>242</v>
      </c>
      <c r="CJ250" t="s">
        <v>206</v>
      </c>
      <c r="CK250" t="s">
        <v>230</v>
      </c>
      <c r="CL250" t="s">
        <v>231</v>
      </c>
      <c r="CM250" t="s">
        <v>232</v>
      </c>
      <c r="CN250" t="s">
        <v>233</v>
      </c>
      <c r="CP250" t="s">
        <v>212</v>
      </c>
      <c r="CQ250" t="s">
        <v>212</v>
      </c>
      <c r="CR250" t="s">
        <v>212</v>
      </c>
      <c r="CS250" t="s">
        <v>212</v>
      </c>
      <c r="CY250" t="s">
        <v>212</v>
      </c>
      <c r="DB250" t="s">
        <v>234</v>
      </c>
      <c r="DE250" t="s">
        <v>212</v>
      </c>
      <c r="DF250" t="s">
        <v>212</v>
      </c>
      <c r="DG250" t="s">
        <v>235</v>
      </c>
      <c r="DH250" t="s">
        <v>212</v>
      </c>
      <c r="DJ250" t="s">
        <v>236</v>
      </c>
      <c r="DM250" t="s">
        <v>212</v>
      </c>
    </row>
    <row r="251" spans="1:184" x14ac:dyDescent="0.3">
      <c r="A251">
        <v>15740638</v>
      </c>
      <c r="B251">
        <v>859135</v>
      </c>
      <c r="C251" t="str">
        <f>"130704500650"</f>
        <v>130704500650</v>
      </c>
      <c r="D251" t="s">
        <v>977</v>
      </c>
      <c r="E251" t="s">
        <v>941</v>
      </c>
      <c r="F251" t="s">
        <v>290</v>
      </c>
      <c r="G251" s="1">
        <v>41459</v>
      </c>
      <c r="I251" t="s">
        <v>240</v>
      </c>
      <c r="J251" t="s">
        <v>200</v>
      </c>
      <c r="K251" t="s">
        <v>260</v>
      </c>
      <c r="Q251" t="s">
        <v>212</v>
      </c>
      <c r="R251" t="str">
        <f>"КАЗАХСТАН, АКМОЛИНСКАЯ, СТЕПНОГОРСК, 85, 107"</f>
        <v>КАЗАХСТАН, АКМОЛИНСКАЯ, СТЕПНОГОРСК, 85, 107</v>
      </c>
      <c r="S251" t="str">
        <f>"ҚАЗАҚСТАН, АҚМОЛА, СТЕПНОГОР, 85, 107"</f>
        <v>ҚАЗАҚСТАН, АҚМОЛА, СТЕПНОГОР, 85, 107</v>
      </c>
      <c r="T251" t="str">
        <f>"85, 107"</f>
        <v>85, 107</v>
      </c>
      <c r="U251" t="str">
        <f>"85, 107"</f>
        <v>85, 107</v>
      </c>
      <c r="AC251" t="str">
        <f>"2020-06-08T04:30:00"</f>
        <v>2020-06-08T04:30:00</v>
      </c>
      <c r="AD251" t="str">
        <f>"86"</f>
        <v>86</v>
      </c>
      <c r="AG251" t="s">
        <v>202</v>
      </c>
      <c r="AI251" t="s">
        <v>203</v>
      </c>
      <c r="AJ251" t="s">
        <v>501</v>
      </c>
      <c r="AK251" t="s">
        <v>261</v>
      </c>
      <c r="AL251" t="s">
        <v>206</v>
      </c>
      <c r="AN251" t="s">
        <v>207</v>
      </c>
      <c r="AO251">
        <v>1</v>
      </c>
      <c r="AP251" t="s">
        <v>208</v>
      </c>
      <c r="AQ251" t="s">
        <v>209</v>
      </c>
      <c r="AR251" t="s">
        <v>502</v>
      </c>
      <c r="AW251" t="s">
        <v>212</v>
      </c>
      <c r="AZ251" t="s">
        <v>209</v>
      </c>
      <c r="BI251" t="s">
        <v>212</v>
      </c>
      <c r="BJ251" t="s">
        <v>213</v>
      </c>
      <c r="BK251" t="s">
        <v>214</v>
      </c>
      <c r="BL251" t="s">
        <v>357</v>
      </c>
      <c r="BN251" t="s">
        <v>216</v>
      </c>
      <c r="BO251" t="s">
        <v>209</v>
      </c>
      <c r="BP251" t="s">
        <v>241</v>
      </c>
      <c r="BQ251">
        <v>4</v>
      </c>
      <c r="BS251" t="s">
        <v>219</v>
      </c>
      <c r="BT251" t="s">
        <v>220</v>
      </c>
      <c r="BU251" t="s">
        <v>206</v>
      </c>
      <c r="BX251" t="s">
        <v>221</v>
      </c>
      <c r="BY251" t="s">
        <v>221</v>
      </c>
      <c r="BZ251" t="s">
        <v>503</v>
      </c>
      <c r="CA251" t="s">
        <v>287</v>
      </c>
      <c r="CC251" t="s">
        <v>256</v>
      </c>
      <c r="CD251" t="s">
        <v>223</v>
      </c>
      <c r="CE251" t="s">
        <v>242</v>
      </c>
      <c r="CJ251" t="s">
        <v>206</v>
      </c>
      <c r="CK251" t="s">
        <v>230</v>
      </c>
      <c r="CL251" t="s">
        <v>231</v>
      </c>
      <c r="CM251" t="s">
        <v>232</v>
      </c>
      <c r="CN251" t="s">
        <v>233</v>
      </c>
      <c r="CP251" t="s">
        <v>212</v>
      </c>
      <c r="CQ251" t="s">
        <v>212</v>
      </c>
      <c r="CR251" t="s">
        <v>212</v>
      </c>
      <c r="CS251" t="s">
        <v>212</v>
      </c>
      <c r="CY251" t="s">
        <v>212</v>
      </c>
      <c r="DB251" t="s">
        <v>234</v>
      </c>
      <c r="DE251" t="s">
        <v>212</v>
      </c>
      <c r="DF251" t="s">
        <v>212</v>
      </c>
      <c r="DG251" t="s">
        <v>235</v>
      </c>
      <c r="DH251" t="s">
        <v>212</v>
      </c>
      <c r="DJ251" t="s">
        <v>236</v>
      </c>
      <c r="DM251" t="s">
        <v>212</v>
      </c>
    </row>
    <row r="252" spans="1:184" x14ac:dyDescent="0.3">
      <c r="A252">
        <v>15740637</v>
      </c>
      <c r="B252">
        <v>803417</v>
      </c>
      <c r="C252" t="str">
        <f>"131203501688"</f>
        <v>131203501688</v>
      </c>
      <c r="D252" t="s">
        <v>984</v>
      </c>
      <c r="E252" t="s">
        <v>985</v>
      </c>
      <c r="F252" t="s">
        <v>986</v>
      </c>
      <c r="G252" s="1">
        <v>41611</v>
      </c>
      <c r="I252" t="s">
        <v>240</v>
      </c>
      <c r="J252" t="s">
        <v>200</v>
      </c>
      <c r="K252" t="s">
        <v>260</v>
      </c>
      <c r="Q252" t="s">
        <v>212</v>
      </c>
      <c r="R252" t="str">
        <f>"КАЗАХСТАН, АКМОЛИНСКАЯ, СТЕПНОГОРСК, 27, 12"</f>
        <v>КАЗАХСТАН, АКМОЛИНСКАЯ, СТЕПНОГОРСК, 27, 12</v>
      </c>
      <c r="S252" t="str">
        <f>"ҚАЗАҚСТАН, АҚМОЛА, СТЕПНОГОР, 27, 12"</f>
        <v>ҚАЗАҚСТАН, АҚМОЛА, СТЕПНОГОР, 27, 12</v>
      </c>
      <c r="T252" t="str">
        <f>"27, 12"</f>
        <v>27, 12</v>
      </c>
      <c r="U252" t="str">
        <f>"27, 12"</f>
        <v>27, 12</v>
      </c>
      <c r="AC252" t="str">
        <f>"2020-07-08T04:24:00"</f>
        <v>2020-07-08T04:24:00</v>
      </c>
      <c r="AD252" t="str">
        <f>"107"</f>
        <v>107</v>
      </c>
      <c r="AG252" t="s">
        <v>202</v>
      </c>
      <c r="AI252" t="s">
        <v>203</v>
      </c>
      <c r="AJ252" t="s">
        <v>501</v>
      </c>
      <c r="AK252" t="s">
        <v>261</v>
      </c>
      <c r="AL252" t="s">
        <v>206</v>
      </c>
      <c r="AN252" t="s">
        <v>207</v>
      </c>
      <c r="AO252">
        <v>1</v>
      </c>
      <c r="AP252" t="s">
        <v>208</v>
      </c>
      <c r="AQ252" t="s">
        <v>209</v>
      </c>
      <c r="AR252" t="s">
        <v>502</v>
      </c>
      <c r="AW252" t="s">
        <v>212</v>
      </c>
      <c r="AZ252" t="s">
        <v>209</v>
      </c>
      <c r="BI252" t="s">
        <v>212</v>
      </c>
      <c r="BJ252" t="s">
        <v>213</v>
      </c>
      <c r="BK252" t="s">
        <v>214</v>
      </c>
      <c r="BL252" t="s">
        <v>357</v>
      </c>
      <c r="BN252" t="s">
        <v>247</v>
      </c>
      <c r="BO252" t="s">
        <v>209</v>
      </c>
      <c r="BP252" t="s">
        <v>415</v>
      </c>
      <c r="BQ252" t="s">
        <v>416</v>
      </c>
      <c r="BS252" t="s">
        <v>219</v>
      </c>
      <c r="BT252" t="s">
        <v>220</v>
      </c>
      <c r="BU252" t="s">
        <v>206</v>
      </c>
      <c r="BX252" t="s">
        <v>221</v>
      </c>
      <c r="BY252" t="s">
        <v>221</v>
      </c>
      <c r="BZ252" t="s">
        <v>503</v>
      </c>
      <c r="CA252" t="s">
        <v>287</v>
      </c>
      <c r="CC252" t="s">
        <v>222</v>
      </c>
      <c r="CD252" t="s">
        <v>223</v>
      </c>
      <c r="CE252" t="s">
        <v>242</v>
      </c>
      <c r="CJ252" t="s">
        <v>206</v>
      </c>
      <c r="CK252" t="s">
        <v>230</v>
      </c>
      <c r="CL252" t="s">
        <v>231</v>
      </c>
      <c r="CM252" t="s">
        <v>232</v>
      </c>
      <c r="CN252" t="s">
        <v>233</v>
      </c>
      <c r="CP252" t="s">
        <v>212</v>
      </c>
      <c r="CQ252" t="s">
        <v>212</v>
      </c>
      <c r="CR252" t="s">
        <v>212</v>
      </c>
      <c r="CS252" t="s">
        <v>212</v>
      </c>
      <c r="CY252" t="s">
        <v>212</v>
      </c>
      <c r="DB252" t="s">
        <v>234</v>
      </c>
      <c r="DE252" t="s">
        <v>212</v>
      </c>
      <c r="DF252" t="s">
        <v>212</v>
      </c>
      <c r="DG252" t="s">
        <v>235</v>
      </c>
      <c r="DH252" t="s">
        <v>212</v>
      </c>
      <c r="DJ252" t="s">
        <v>236</v>
      </c>
      <c r="DM252" t="s">
        <v>212</v>
      </c>
    </row>
    <row r="253" spans="1:184" x14ac:dyDescent="0.3">
      <c r="A253">
        <v>15740636</v>
      </c>
      <c r="B253">
        <v>767784</v>
      </c>
      <c r="C253" t="str">
        <f>"140812501767"</f>
        <v>140812501767</v>
      </c>
      <c r="D253" t="s">
        <v>987</v>
      </c>
      <c r="E253" t="s">
        <v>988</v>
      </c>
      <c r="F253" t="s">
        <v>989</v>
      </c>
      <c r="G253" s="1">
        <v>41863</v>
      </c>
      <c r="I253" t="s">
        <v>240</v>
      </c>
      <c r="J253" t="s">
        <v>200</v>
      </c>
      <c r="K253" t="s">
        <v>201</v>
      </c>
      <c r="Q253" t="s">
        <v>212</v>
      </c>
      <c r="R253" t="str">
        <f>"КАЗАХСТАН, АКМОЛИНСКАЯ, СТЕПНОГОРСК, 48, 17"</f>
        <v>КАЗАХСТАН, АКМОЛИНСКАЯ, СТЕПНОГОРСК, 48, 17</v>
      </c>
      <c r="S253" t="str">
        <f>"ҚАЗАҚСТАН, АҚМОЛА, СТЕПНОГОР, 48, 17"</f>
        <v>ҚАЗАҚСТАН, АҚМОЛА, СТЕПНОГОР, 48, 17</v>
      </c>
      <c r="T253" t="str">
        <f>"48, 17"</f>
        <v>48, 17</v>
      </c>
      <c r="U253" t="str">
        <f>"48, 17"</f>
        <v>48, 17</v>
      </c>
      <c r="AC253" t="str">
        <f>"2020-06-15T04:20:00"</f>
        <v>2020-06-15T04:20:00</v>
      </c>
      <c r="AD253" t="str">
        <f>"93"</f>
        <v>93</v>
      </c>
      <c r="AG253" t="s">
        <v>202</v>
      </c>
      <c r="AI253" t="s">
        <v>299</v>
      </c>
      <c r="AJ253" t="s">
        <v>501</v>
      </c>
      <c r="AK253" t="s">
        <v>205</v>
      </c>
      <c r="AL253" t="s">
        <v>206</v>
      </c>
      <c r="AN253" t="s">
        <v>207</v>
      </c>
      <c r="AO253">
        <v>1</v>
      </c>
      <c r="AP253" t="s">
        <v>208</v>
      </c>
      <c r="AQ253" t="s">
        <v>209</v>
      </c>
      <c r="AR253" t="s">
        <v>502</v>
      </c>
      <c r="AW253" t="s">
        <v>212</v>
      </c>
      <c r="AZ253" t="s">
        <v>209</v>
      </c>
      <c r="BI253" t="s">
        <v>212</v>
      </c>
      <c r="BJ253" t="s">
        <v>213</v>
      </c>
      <c r="BK253" t="s">
        <v>214</v>
      </c>
      <c r="BL253" t="s">
        <v>357</v>
      </c>
      <c r="BN253" t="s">
        <v>247</v>
      </c>
      <c r="BO253" t="s">
        <v>209</v>
      </c>
      <c r="BP253" t="s">
        <v>415</v>
      </c>
      <c r="BQ253" t="s">
        <v>673</v>
      </c>
      <c r="BS253" t="s">
        <v>219</v>
      </c>
      <c r="BT253" t="s">
        <v>220</v>
      </c>
      <c r="BU253" t="s">
        <v>206</v>
      </c>
      <c r="BX253" t="s">
        <v>221</v>
      </c>
      <c r="BY253" t="s">
        <v>221</v>
      </c>
      <c r="BZ253" t="s">
        <v>503</v>
      </c>
      <c r="CA253" t="s">
        <v>287</v>
      </c>
      <c r="CC253" t="s">
        <v>222</v>
      </c>
      <c r="CD253" t="s">
        <v>223</v>
      </c>
      <c r="CE253" t="s">
        <v>242</v>
      </c>
      <c r="CJ253" t="s">
        <v>206</v>
      </c>
      <c r="CK253" t="s">
        <v>230</v>
      </c>
      <c r="CL253" t="s">
        <v>231</v>
      </c>
      <c r="CM253" t="s">
        <v>232</v>
      </c>
      <c r="CN253" t="s">
        <v>233</v>
      </c>
      <c r="CP253" t="s">
        <v>212</v>
      </c>
      <c r="CQ253" t="s">
        <v>212</v>
      </c>
      <c r="CR253" t="s">
        <v>212</v>
      </c>
      <c r="CS253" t="s">
        <v>212</v>
      </c>
      <c r="CY253" t="s">
        <v>212</v>
      </c>
      <c r="DB253" t="s">
        <v>234</v>
      </c>
      <c r="DE253" t="s">
        <v>212</v>
      </c>
      <c r="DF253" t="s">
        <v>212</v>
      </c>
      <c r="DG253" t="s">
        <v>235</v>
      </c>
      <c r="DH253" t="s">
        <v>212</v>
      </c>
      <c r="DJ253" t="s">
        <v>236</v>
      </c>
      <c r="DM253" t="s">
        <v>212</v>
      </c>
    </row>
    <row r="254" spans="1:184" x14ac:dyDescent="0.3">
      <c r="A254">
        <v>24263161</v>
      </c>
      <c r="B254">
        <v>863893</v>
      </c>
      <c r="C254" t="str">
        <f>"151120603405"</f>
        <v>151120603405</v>
      </c>
      <c r="D254" t="s">
        <v>990</v>
      </c>
      <c r="E254" t="s">
        <v>991</v>
      </c>
      <c r="G254" s="1">
        <v>42328</v>
      </c>
      <c r="I254" t="s">
        <v>199</v>
      </c>
      <c r="J254" t="s">
        <v>200</v>
      </c>
      <c r="K254" t="s">
        <v>201</v>
      </c>
      <c r="Q254" t="s">
        <v>212</v>
      </c>
      <c r="R254" t="str">
        <f>"КАЗАХСТАН, АКМОЛИНСКАЯ, СТЕПНОГОРСК, 14, 60"</f>
        <v>КАЗАХСТАН, АКМОЛИНСКАЯ, СТЕПНОГОРСК, 14, 60</v>
      </c>
      <c r="S254" t="str">
        <f>"ҚАЗАҚСТАН, АҚМОЛА, СТЕПНОГОР, 14, 60"</f>
        <v>ҚАЗАҚСТАН, АҚМОЛА, СТЕПНОГОР, 14, 60</v>
      </c>
      <c r="T254" t="str">
        <f>"14, 60"</f>
        <v>14, 60</v>
      </c>
      <c r="U254" t="str">
        <f>"14, 60"</f>
        <v>14, 60</v>
      </c>
      <c r="AC254" t="str">
        <f>"2022-08-25T00:00:00"</f>
        <v>2022-08-25T00:00:00</v>
      </c>
      <c r="AD254" t="str">
        <f>"1"</f>
        <v>1</v>
      </c>
      <c r="AE254" t="str">
        <f>"2023-09-01T13:23:24"</f>
        <v>2023-09-01T13:23:24</v>
      </c>
      <c r="AF254" t="str">
        <f>"2024-05-25T13:23:24"</f>
        <v>2024-05-25T13:23:24</v>
      </c>
      <c r="AG254" t="s">
        <v>202</v>
      </c>
      <c r="AI254" t="s">
        <v>299</v>
      </c>
      <c r="AJ254" t="s">
        <v>570</v>
      </c>
      <c r="AK254" t="s">
        <v>246</v>
      </c>
      <c r="AL254" t="s">
        <v>206</v>
      </c>
      <c r="AN254" t="s">
        <v>207</v>
      </c>
      <c r="AO254">
        <v>1</v>
      </c>
      <c r="AP254" t="s">
        <v>208</v>
      </c>
      <c r="AQ254" t="s">
        <v>209</v>
      </c>
      <c r="AR254" t="s">
        <v>210</v>
      </c>
      <c r="AW254" t="s">
        <v>212</v>
      </c>
      <c r="AZ254" t="s">
        <v>209</v>
      </c>
      <c r="BI254" t="s">
        <v>212</v>
      </c>
      <c r="BJ254" t="s">
        <v>213</v>
      </c>
      <c r="BK254" t="s">
        <v>214</v>
      </c>
      <c r="BL254" t="s">
        <v>357</v>
      </c>
      <c r="BN254" t="s">
        <v>247</v>
      </c>
      <c r="BO254" t="s">
        <v>209</v>
      </c>
      <c r="BP254" t="s">
        <v>241</v>
      </c>
      <c r="BQ254">
        <v>3</v>
      </c>
      <c r="BS254" t="s">
        <v>220</v>
      </c>
      <c r="BU254" t="s">
        <v>212</v>
      </c>
      <c r="BZ254" t="s">
        <v>571</v>
      </c>
      <c r="CA254" t="s">
        <v>287</v>
      </c>
      <c r="CC254" t="s">
        <v>222</v>
      </c>
      <c r="CD254" t="s">
        <v>223</v>
      </c>
      <c r="CE254" t="s">
        <v>242</v>
      </c>
      <c r="CJ254" t="s">
        <v>206</v>
      </c>
      <c r="CK254" t="s">
        <v>230</v>
      </c>
      <c r="CL254" t="s">
        <v>231</v>
      </c>
      <c r="CM254" t="s">
        <v>232</v>
      </c>
      <c r="CN254" t="s">
        <v>233</v>
      </c>
      <c r="CP254" t="s">
        <v>212</v>
      </c>
      <c r="CQ254" t="s">
        <v>212</v>
      </c>
      <c r="CR254" t="s">
        <v>212</v>
      </c>
      <c r="CS254" t="s">
        <v>212</v>
      </c>
      <c r="CY254" t="s">
        <v>212</v>
      </c>
      <c r="DB254" t="s">
        <v>653</v>
      </c>
      <c r="DC254" t="str">
        <f>"№1925 Трудности  формирования чтения и письма. Фонетико-фонематическое недоразвитие."</f>
        <v>№1925 Трудности  формирования чтения и письма. Фонетико-фонематическое недоразвитие.</v>
      </c>
      <c r="DD254" t="str">
        <f>"2023-12-26T00:00:00"</f>
        <v>2023-12-26T00:00:00</v>
      </c>
      <c r="DE254" t="s">
        <v>212</v>
      </c>
      <c r="DF254" t="s">
        <v>206</v>
      </c>
      <c r="DG254" t="s">
        <v>235</v>
      </c>
      <c r="DH254" t="s">
        <v>212</v>
      </c>
      <c r="DJ254" t="s">
        <v>421</v>
      </c>
      <c r="DK254" t="s">
        <v>992</v>
      </c>
      <c r="DL254" t="s">
        <v>423</v>
      </c>
      <c r="DM254" t="s">
        <v>212</v>
      </c>
    </row>
    <row r="255" spans="1:184" x14ac:dyDescent="0.3">
      <c r="A255">
        <v>24263184</v>
      </c>
      <c r="B255">
        <v>920825</v>
      </c>
      <c r="C255" t="str">
        <f>"140626503663"</f>
        <v>140626503663</v>
      </c>
      <c r="D255" t="s">
        <v>993</v>
      </c>
      <c r="E255" t="s">
        <v>532</v>
      </c>
      <c r="F255" t="s">
        <v>521</v>
      </c>
      <c r="G255" s="1">
        <v>41816</v>
      </c>
      <c r="I255" t="s">
        <v>240</v>
      </c>
      <c r="J255" t="s">
        <v>200</v>
      </c>
      <c r="K255" t="s">
        <v>260</v>
      </c>
      <c r="R255" t="str">
        <f>"КАЗАХСТАН, АКМОЛИНСКАЯ, СТЕПНОГОРСК, -, 23, 4"</f>
        <v>КАЗАХСТАН, АКМОЛИНСКАЯ, СТЕПНОГОРСК, -, 23, 4</v>
      </c>
      <c r="S255" t="str">
        <f>"ҚАЗАҚСТАН, АҚМОЛА, СТЕПНОГОР, -, 23, 4"</f>
        <v>ҚАЗАҚСТАН, АҚМОЛА, СТЕПНОГОР, -, 23, 4</v>
      </c>
      <c r="T255" t="str">
        <f>"-, 23, 4"</f>
        <v>-, 23, 4</v>
      </c>
      <c r="U255" t="str">
        <f>"-, 23, 4"</f>
        <v>-, 23, 4</v>
      </c>
      <c r="AC255" t="str">
        <f>"2021-08-25T00:00:00"</f>
        <v>2021-08-25T00:00:00</v>
      </c>
      <c r="AD255" t="str">
        <f>"1"</f>
        <v>1</v>
      </c>
      <c r="AG255" t="s">
        <v>202</v>
      </c>
      <c r="AI255" t="s">
        <v>203</v>
      </c>
      <c r="AJ255" t="s">
        <v>540</v>
      </c>
      <c r="AK255" t="s">
        <v>246</v>
      </c>
      <c r="AL255" t="s">
        <v>206</v>
      </c>
      <c r="AN255" t="s">
        <v>207</v>
      </c>
      <c r="AO255">
        <v>2</v>
      </c>
      <c r="AP255" t="s">
        <v>208</v>
      </c>
      <c r="AQ255" t="s">
        <v>209</v>
      </c>
      <c r="AR255" t="s">
        <v>502</v>
      </c>
      <c r="AW255" t="s">
        <v>212</v>
      </c>
      <c r="AZ255" t="s">
        <v>209</v>
      </c>
      <c r="BI255" t="s">
        <v>212</v>
      </c>
      <c r="BJ255" t="s">
        <v>213</v>
      </c>
      <c r="BK255" t="s">
        <v>214</v>
      </c>
      <c r="BL255" t="s">
        <v>357</v>
      </c>
      <c r="BN255" t="s">
        <v>247</v>
      </c>
      <c r="BO255" t="s">
        <v>209</v>
      </c>
      <c r="BP255" t="s">
        <v>241</v>
      </c>
      <c r="BQ255">
        <v>3</v>
      </c>
      <c r="BS255" t="s">
        <v>219</v>
      </c>
      <c r="BT255" t="s">
        <v>220</v>
      </c>
      <c r="BU255" t="s">
        <v>206</v>
      </c>
      <c r="BZ255" t="s">
        <v>541</v>
      </c>
      <c r="CA255" t="s">
        <v>287</v>
      </c>
      <c r="CC255" t="s">
        <v>222</v>
      </c>
      <c r="CD255" t="s">
        <v>223</v>
      </c>
      <c r="CE255" t="s">
        <v>242</v>
      </c>
      <c r="CJ255" t="s">
        <v>206</v>
      </c>
      <c r="CK255" t="s">
        <v>230</v>
      </c>
      <c r="CL255" t="s">
        <v>231</v>
      </c>
      <c r="CM255" t="s">
        <v>232</v>
      </c>
      <c r="CN255" t="s">
        <v>233</v>
      </c>
      <c r="CP255" t="s">
        <v>212</v>
      </c>
      <c r="CQ255" t="s">
        <v>212</v>
      </c>
      <c r="CR255" t="s">
        <v>212</v>
      </c>
      <c r="CS255" t="s">
        <v>212</v>
      </c>
      <c r="CY255" t="s">
        <v>212</v>
      </c>
      <c r="DB255" t="s">
        <v>234</v>
      </c>
      <c r="DE255" t="s">
        <v>212</v>
      </c>
      <c r="DF255" t="s">
        <v>212</v>
      </c>
      <c r="DG255" t="s">
        <v>235</v>
      </c>
      <c r="DH255" t="s">
        <v>212</v>
      </c>
      <c r="DJ255" t="s">
        <v>236</v>
      </c>
      <c r="DM255" t="s">
        <v>212</v>
      </c>
    </row>
    <row r="256" spans="1:184" x14ac:dyDescent="0.3">
      <c r="A256">
        <v>15704657</v>
      </c>
      <c r="B256">
        <v>8905724</v>
      </c>
      <c r="C256" t="str">
        <f>"130310650027"</f>
        <v>130310650027</v>
      </c>
      <c r="D256" t="s">
        <v>994</v>
      </c>
      <c r="E256" t="s">
        <v>389</v>
      </c>
      <c r="F256" t="s">
        <v>995</v>
      </c>
      <c r="G256" s="1">
        <v>41343</v>
      </c>
      <c r="I256" t="s">
        <v>199</v>
      </c>
      <c r="J256" t="s">
        <v>200</v>
      </c>
      <c r="K256" t="s">
        <v>201</v>
      </c>
      <c r="Q256" t="s">
        <v>212</v>
      </c>
      <c r="R256" t="str">
        <f>"КАЗАХСТАН, АКМОЛИНСКАЯ, СТЕПНОГОРСК, 20, 26"</f>
        <v>КАЗАХСТАН, АКМОЛИНСКАЯ, СТЕПНОГОРСК, 20, 26</v>
      </c>
      <c r="S256" t="str">
        <f>"ҚАЗАҚСТАН, АҚМОЛА, СТЕПНОГОР, 20, 26"</f>
        <v>ҚАЗАҚСТАН, АҚМОЛА, СТЕПНОГОР, 20, 26</v>
      </c>
      <c r="T256" t="str">
        <f>"20, 26"</f>
        <v>20, 26</v>
      </c>
      <c r="U256" t="str">
        <f>"20, 26"</f>
        <v>20, 26</v>
      </c>
      <c r="AC256" t="str">
        <f>"2020-08-10T15:08:00"</f>
        <v>2020-08-10T15:08:00</v>
      </c>
      <c r="AD256" t="str">
        <f>"130"</f>
        <v>130</v>
      </c>
      <c r="AE256" t="str">
        <f>"2023-09-01T23:57:07"</f>
        <v>2023-09-01T23:57:07</v>
      </c>
      <c r="AF256" t="str">
        <f>"2024-05-25T23:57:07"</f>
        <v>2024-05-25T23:57:07</v>
      </c>
      <c r="AG256" t="s">
        <v>202</v>
      </c>
      <c r="AI256" t="s">
        <v>274</v>
      </c>
      <c r="AJ256" t="s">
        <v>419</v>
      </c>
      <c r="AK256" t="s">
        <v>253</v>
      </c>
      <c r="AL256" t="s">
        <v>206</v>
      </c>
      <c r="AN256" t="s">
        <v>254</v>
      </c>
      <c r="AO256">
        <v>1</v>
      </c>
      <c r="AP256" t="s">
        <v>208</v>
      </c>
      <c r="AQ256" t="s">
        <v>209</v>
      </c>
      <c r="AR256" t="s">
        <v>210</v>
      </c>
      <c r="AW256" t="s">
        <v>206</v>
      </c>
      <c r="AX256" t="s">
        <v>211</v>
      </c>
      <c r="AZ256" t="s">
        <v>209</v>
      </c>
      <c r="BI256" t="s">
        <v>212</v>
      </c>
      <c r="BJ256" t="s">
        <v>213</v>
      </c>
      <c r="BK256" t="s">
        <v>214</v>
      </c>
      <c r="BL256" t="s">
        <v>215</v>
      </c>
      <c r="BN256" t="s">
        <v>281</v>
      </c>
      <c r="BO256" t="s">
        <v>209</v>
      </c>
      <c r="BP256" t="s">
        <v>415</v>
      </c>
      <c r="BQ256" t="s">
        <v>493</v>
      </c>
      <c r="BS256" t="s">
        <v>219</v>
      </c>
      <c r="BT256" t="s">
        <v>220</v>
      </c>
      <c r="BU256" t="s">
        <v>206</v>
      </c>
      <c r="BX256" t="s">
        <v>221</v>
      </c>
      <c r="BY256" t="s">
        <v>221</v>
      </c>
      <c r="CA256" t="s">
        <v>263</v>
      </c>
      <c r="CB256" t="s">
        <v>223</v>
      </c>
      <c r="CC256" t="s">
        <v>222</v>
      </c>
      <c r="CD256" t="s">
        <v>223</v>
      </c>
      <c r="CE256" t="s">
        <v>242</v>
      </c>
      <c r="CJ256" t="s">
        <v>206</v>
      </c>
      <c r="CK256" t="s">
        <v>230</v>
      </c>
      <c r="CL256" t="s">
        <v>231</v>
      </c>
      <c r="CM256" t="s">
        <v>232</v>
      </c>
      <c r="CN256" t="s">
        <v>233</v>
      </c>
      <c r="CP256" t="s">
        <v>212</v>
      </c>
      <c r="CQ256" t="s">
        <v>212</v>
      </c>
      <c r="CR256" t="s">
        <v>212</v>
      </c>
      <c r="CS256" t="s">
        <v>212</v>
      </c>
      <c r="CY256" t="s">
        <v>212</v>
      </c>
      <c r="DB256" t="s">
        <v>234</v>
      </c>
      <c r="DE256" t="s">
        <v>212</v>
      </c>
      <c r="DF256" t="s">
        <v>212</v>
      </c>
      <c r="DG256" t="s">
        <v>235</v>
      </c>
      <c r="DH256" t="s">
        <v>212</v>
      </c>
      <c r="DJ256" t="s">
        <v>236</v>
      </c>
      <c r="DM256" t="s">
        <v>212</v>
      </c>
    </row>
    <row r="257" spans="1:184" x14ac:dyDescent="0.3">
      <c r="A257">
        <v>15614035</v>
      </c>
      <c r="B257">
        <v>21042</v>
      </c>
      <c r="C257" t="str">
        <f>"090627652825"</f>
        <v>090627652825</v>
      </c>
      <c r="D257" t="s">
        <v>923</v>
      </c>
      <c r="E257" t="s">
        <v>996</v>
      </c>
      <c r="F257" t="s">
        <v>925</v>
      </c>
      <c r="G257" s="1">
        <v>39991</v>
      </c>
      <c r="I257" t="s">
        <v>199</v>
      </c>
      <c r="J257" t="s">
        <v>200</v>
      </c>
      <c r="K257" t="s">
        <v>201</v>
      </c>
      <c r="R257" t="str">
        <f>"АНДОРРА, АКМОЛИНСКАЯ, СТЕПНОГОРСК, 7"</f>
        <v>АНДОРРА, АКМОЛИНСКАЯ, СТЕПНОГОРСК, 7</v>
      </c>
      <c r="S257" t="str">
        <f>"АНДОРРА, АҚМОЛА, СТЕПНОГОР, 7"</f>
        <v>АНДОРРА, АҚМОЛА, СТЕПНОГОР, 7</v>
      </c>
      <c r="T257" t="str">
        <f>"7"</f>
        <v>7</v>
      </c>
      <c r="U257" t="str">
        <f>"7"</f>
        <v>7</v>
      </c>
      <c r="AC257" t="str">
        <f>"2020-08-24T15:14:00"</f>
        <v>2020-08-24T15:14:00</v>
      </c>
      <c r="AD257" t="str">
        <f>"135"</f>
        <v>135</v>
      </c>
      <c r="AE257" t="str">
        <f>"2023-09-01T17:32:52"</f>
        <v>2023-09-01T17:32:52</v>
      </c>
      <c r="AF257" t="str">
        <f>"2024-05-25T17:32:52"</f>
        <v>2024-05-25T17:32:52</v>
      </c>
      <c r="AG257" t="s">
        <v>202</v>
      </c>
      <c r="AH257" t="str">
        <f>"ckool007@mail.ru"</f>
        <v>ckool007@mail.ru</v>
      </c>
      <c r="AI257" t="s">
        <v>203</v>
      </c>
      <c r="AJ257" t="s">
        <v>286</v>
      </c>
      <c r="AK257" t="s">
        <v>261</v>
      </c>
      <c r="AL257" t="s">
        <v>206</v>
      </c>
      <c r="AN257" t="s">
        <v>207</v>
      </c>
      <c r="AO257">
        <v>1</v>
      </c>
      <c r="AP257" t="s">
        <v>208</v>
      </c>
      <c r="AQ257" t="s">
        <v>209</v>
      </c>
      <c r="AR257" t="s">
        <v>210</v>
      </c>
      <c r="AW257" t="s">
        <v>206</v>
      </c>
      <c r="AX257" t="s">
        <v>211</v>
      </c>
      <c r="AZ257" t="s">
        <v>209</v>
      </c>
      <c r="BI257" t="s">
        <v>212</v>
      </c>
      <c r="BJ257" t="s">
        <v>213</v>
      </c>
      <c r="BK257" t="s">
        <v>214</v>
      </c>
      <c r="BL257" t="s">
        <v>357</v>
      </c>
      <c r="BN257" t="s">
        <v>216</v>
      </c>
      <c r="BO257" t="s">
        <v>209</v>
      </c>
      <c r="BP257" t="s">
        <v>241</v>
      </c>
      <c r="BQ257">
        <v>5</v>
      </c>
      <c r="BS257" t="s">
        <v>219</v>
      </c>
      <c r="BT257" t="s">
        <v>220</v>
      </c>
      <c r="BU257" t="s">
        <v>206</v>
      </c>
      <c r="BX257" t="s">
        <v>221</v>
      </c>
      <c r="BY257" t="s">
        <v>221</v>
      </c>
      <c r="CA257" t="s">
        <v>287</v>
      </c>
      <c r="CC257" t="s">
        <v>209</v>
      </c>
      <c r="CE257" t="s">
        <v>242</v>
      </c>
      <c r="CJ257" t="s">
        <v>206</v>
      </c>
      <c r="CK257" t="s">
        <v>230</v>
      </c>
      <c r="CL257" t="s">
        <v>231</v>
      </c>
      <c r="CM257" t="s">
        <v>232</v>
      </c>
      <c r="CN257" t="s">
        <v>233</v>
      </c>
      <c r="CP257" t="s">
        <v>212</v>
      </c>
      <c r="CQ257" t="s">
        <v>212</v>
      </c>
      <c r="CR257" t="s">
        <v>212</v>
      </c>
      <c r="CS257" t="s">
        <v>212</v>
      </c>
      <c r="CY257" t="s">
        <v>212</v>
      </c>
      <c r="DB257" t="s">
        <v>234</v>
      </c>
      <c r="DE257" t="s">
        <v>212</v>
      </c>
      <c r="DF257" t="s">
        <v>212</v>
      </c>
      <c r="DG257" t="s">
        <v>235</v>
      </c>
      <c r="DH257" t="s">
        <v>212</v>
      </c>
      <c r="DJ257" t="s">
        <v>421</v>
      </c>
      <c r="DK257" t="s">
        <v>422</v>
      </c>
      <c r="DL257" t="s">
        <v>423</v>
      </c>
      <c r="DM257" t="s">
        <v>206</v>
      </c>
    </row>
    <row r="258" spans="1:184" x14ac:dyDescent="0.3">
      <c r="A258">
        <v>15614013</v>
      </c>
      <c r="B258">
        <v>179606</v>
      </c>
      <c r="C258" t="str">
        <f>"110529601809"</f>
        <v>110529601809</v>
      </c>
      <c r="D258" t="s">
        <v>923</v>
      </c>
      <c r="E258" t="s">
        <v>997</v>
      </c>
      <c r="F258" t="s">
        <v>925</v>
      </c>
      <c r="G258" s="1">
        <v>40692</v>
      </c>
      <c r="I258" t="s">
        <v>199</v>
      </c>
      <c r="J258" t="s">
        <v>200</v>
      </c>
      <c r="K258" t="s">
        <v>201</v>
      </c>
      <c r="Q258" t="s">
        <v>212</v>
      </c>
      <c r="R258" t="str">
        <f>"КАЗАХСТАН, АКМОЛИНСКАЯ, СТЕПНОГОРСК, 7"</f>
        <v>КАЗАХСТАН, АКМОЛИНСКАЯ, СТЕПНОГОРСК, 7</v>
      </c>
      <c r="S258" t="str">
        <f>"ҚАЗАҚСТАН, АҚМОЛА, СТЕПНОГОР, 7"</f>
        <v>ҚАЗАҚСТАН, АҚМОЛА, СТЕПНОГОР, 7</v>
      </c>
      <c r="T258" t="str">
        <f>"7"</f>
        <v>7</v>
      </c>
      <c r="U258" t="str">
        <f>"7"</f>
        <v>7</v>
      </c>
      <c r="AC258" t="str">
        <f>"2020-08-24T15:16:00"</f>
        <v>2020-08-24T15:16:00</v>
      </c>
      <c r="AD258" t="str">
        <f>"135"</f>
        <v>135</v>
      </c>
      <c r="AE258" t="str">
        <f>"2023-09-01T17:26:04"</f>
        <v>2023-09-01T17:26:04</v>
      </c>
      <c r="AF258" t="str">
        <f>"2024-05-25T17:26:04"</f>
        <v>2024-05-25T17:26:04</v>
      </c>
      <c r="AG258" t="s">
        <v>202</v>
      </c>
      <c r="AI258" t="s">
        <v>269</v>
      </c>
      <c r="AJ258" t="s">
        <v>348</v>
      </c>
      <c r="AK258" t="s">
        <v>261</v>
      </c>
      <c r="AL258" t="s">
        <v>206</v>
      </c>
      <c r="AN258" t="s">
        <v>207</v>
      </c>
      <c r="AO258">
        <v>1</v>
      </c>
      <c r="AP258" t="s">
        <v>208</v>
      </c>
      <c r="AQ258" t="s">
        <v>209</v>
      </c>
      <c r="AR258" t="s">
        <v>262</v>
      </c>
      <c r="AW258" t="s">
        <v>206</v>
      </c>
      <c r="AX258" t="s">
        <v>211</v>
      </c>
      <c r="AZ258" t="s">
        <v>209</v>
      </c>
      <c r="BI258" t="s">
        <v>212</v>
      </c>
      <c r="BJ258" t="s">
        <v>213</v>
      </c>
      <c r="BK258" t="s">
        <v>214</v>
      </c>
      <c r="BL258" t="s">
        <v>357</v>
      </c>
      <c r="BN258" t="s">
        <v>216</v>
      </c>
      <c r="BO258" t="s">
        <v>209</v>
      </c>
      <c r="BP258" t="s">
        <v>415</v>
      </c>
      <c r="BQ258" t="s">
        <v>913</v>
      </c>
      <c r="BS258" t="s">
        <v>219</v>
      </c>
      <c r="BT258" t="s">
        <v>220</v>
      </c>
      <c r="BU258" t="s">
        <v>206</v>
      </c>
      <c r="BX258" t="s">
        <v>221</v>
      </c>
      <c r="BY258" t="s">
        <v>221</v>
      </c>
      <c r="CA258" t="s">
        <v>222</v>
      </c>
      <c r="CB258" t="s">
        <v>223</v>
      </c>
      <c r="CC258" t="s">
        <v>222</v>
      </c>
      <c r="CD258" t="s">
        <v>223</v>
      </c>
      <c r="CE258" t="s">
        <v>242</v>
      </c>
      <c r="CJ258" t="s">
        <v>206</v>
      </c>
      <c r="CK258" t="s">
        <v>230</v>
      </c>
      <c r="CL258" t="s">
        <v>231</v>
      </c>
      <c r="CM258" t="s">
        <v>232</v>
      </c>
      <c r="CN258" t="s">
        <v>233</v>
      </c>
      <c r="CP258" t="s">
        <v>212</v>
      </c>
      <c r="CQ258" t="s">
        <v>212</v>
      </c>
      <c r="CR258" t="s">
        <v>212</v>
      </c>
      <c r="CS258" t="s">
        <v>212</v>
      </c>
      <c r="CY258" t="s">
        <v>212</v>
      </c>
      <c r="DB258" t="s">
        <v>234</v>
      </c>
      <c r="DE258" t="s">
        <v>212</v>
      </c>
      <c r="DF258" t="s">
        <v>212</v>
      </c>
      <c r="DG258" t="s">
        <v>235</v>
      </c>
      <c r="DH258" t="s">
        <v>212</v>
      </c>
      <c r="DJ258" t="s">
        <v>421</v>
      </c>
      <c r="DK258" t="s">
        <v>422</v>
      </c>
      <c r="DL258" t="s">
        <v>423</v>
      </c>
      <c r="DM258" t="s">
        <v>206</v>
      </c>
    </row>
    <row r="259" spans="1:184" x14ac:dyDescent="0.3">
      <c r="A259">
        <v>24276820</v>
      </c>
      <c r="B259">
        <v>9766</v>
      </c>
      <c r="C259" t="str">
        <f>"110825603448"</f>
        <v>110825603448</v>
      </c>
      <c r="D259" t="s">
        <v>998</v>
      </c>
      <c r="E259" t="s">
        <v>550</v>
      </c>
      <c r="F259" t="s">
        <v>999</v>
      </c>
      <c r="G259" s="1">
        <v>40780</v>
      </c>
      <c r="I259" t="s">
        <v>199</v>
      </c>
      <c r="J259" t="s">
        <v>200</v>
      </c>
      <c r="K259" t="s">
        <v>201</v>
      </c>
      <c r="Q259" t="s">
        <v>212</v>
      </c>
      <c r="R259" t="str">
        <f>"КАЗАХСТАН, АКМОЛИНСКАЯ, БУРАБАЙСКИЙ РАЙОН, Щучинск, 13, 4"</f>
        <v>КАЗАХСТАН, АКМОЛИНСКАЯ, БУРАБАЙСКИЙ РАЙОН, Щучинск, 13, 4</v>
      </c>
      <c r="S259" t="str">
        <f>"ҚАЗАҚСТАН, АҚМОЛА, БУРАБАЙ, Щучинск, 13, 4"</f>
        <v>ҚАЗАҚСТАН, АҚМОЛА, БУРАБАЙ, Щучинск, 13, 4</v>
      </c>
      <c r="T259" t="str">
        <f>"Щучинск, 13, 4"</f>
        <v>Щучинск, 13, 4</v>
      </c>
      <c r="U259" t="str">
        <f>"Щучинск, 13, 4"</f>
        <v>Щучинск, 13, 4</v>
      </c>
      <c r="AC259" t="str">
        <f>"2022-11-07T00:00:00"</f>
        <v>2022-11-07T00:00:00</v>
      </c>
      <c r="AD259" t="str">
        <f>"171"</f>
        <v>171</v>
      </c>
      <c r="AG259" t="s">
        <v>202</v>
      </c>
      <c r="AI259" t="s">
        <v>274</v>
      </c>
      <c r="AJ259" t="s">
        <v>348</v>
      </c>
      <c r="AK259" t="s">
        <v>261</v>
      </c>
      <c r="AL259" t="s">
        <v>206</v>
      </c>
      <c r="AN259" t="s">
        <v>207</v>
      </c>
      <c r="AO259">
        <v>1</v>
      </c>
      <c r="AP259" t="s">
        <v>208</v>
      </c>
      <c r="AQ259" t="s">
        <v>209</v>
      </c>
      <c r="AR259" t="s">
        <v>210</v>
      </c>
      <c r="AW259" t="s">
        <v>206</v>
      </c>
      <c r="AX259" t="s">
        <v>211</v>
      </c>
      <c r="AZ259" t="s">
        <v>209</v>
      </c>
      <c r="BI259" t="s">
        <v>212</v>
      </c>
      <c r="BJ259" t="s">
        <v>213</v>
      </c>
      <c r="BK259" t="s">
        <v>214</v>
      </c>
      <c r="BL259" t="s">
        <v>215</v>
      </c>
      <c r="BN259" t="s">
        <v>247</v>
      </c>
      <c r="BO259" t="s">
        <v>209</v>
      </c>
      <c r="BP259" t="s">
        <v>415</v>
      </c>
      <c r="BQ259" t="s">
        <v>416</v>
      </c>
      <c r="BS259" t="s">
        <v>219</v>
      </c>
      <c r="BT259" t="s">
        <v>220</v>
      </c>
      <c r="BU259" t="s">
        <v>206</v>
      </c>
      <c r="CA259" t="s">
        <v>263</v>
      </c>
      <c r="CB259" t="s">
        <v>223</v>
      </c>
      <c r="CC259" t="s">
        <v>1000</v>
      </c>
      <c r="CD259" t="s">
        <v>223</v>
      </c>
      <c r="CE259" t="s">
        <v>242</v>
      </c>
      <c r="CJ259" t="s">
        <v>206</v>
      </c>
      <c r="CK259" t="s">
        <v>230</v>
      </c>
      <c r="CL259" t="s">
        <v>231</v>
      </c>
      <c r="CM259" t="s">
        <v>232</v>
      </c>
      <c r="CN259" t="s">
        <v>233</v>
      </c>
      <c r="CP259" t="s">
        <v>212</v>
      </c>
      <c r="CQ259" t="s">
        <v>212</v>
      </c>
      <c r="CR259" t="s">
        <v>212</v>
      </c>
      <c r="CS259" t="s">
        <v>212</v>
      </c>
      <c r="CY259" t="s">
        <v>212</v>
      </c>
      <c r="DB259" t="s">
        <v>234</v>
      </c>
      <c r="DE259" t="s">
        <v>212</v>
      </c>
      <c r="DF259" t="s">
        <v>212</v>
      </c>
      <c r="DG259" t="s">
        <v>235</v>
      </c>
      <c r="DH259" t="s">
        <v>212</v>
      </c>
      <c r="DJ259" t="s">
        <v>236</v>
      </c>
      <c r="DM259" t="s">
        <v>212</v>
      </c>
    </row>
    <row r="260" spans="1:184" x14ac:dyDescent="0.3">
      <c r="A260">
        <v>24277046</v>
      </c>
      <c r="B260">
        <v>11465836</v>
      </c>
      <c r="C260" t="str">
        <f>"160224050077"</f>
        <v>160224050077</v>
      </c>
      <c r="D260" t="s">
        <v>1001</v>
      </c>
      <c r="E260" t="s">
        <v>617</v>
      </c>
      <c r="F260" t="s">
        <v>1002</v>
      </c>
      <c r="G260" s="1">
        <v>42424</v>
      </c>
      <c r="I260" t="s">
        <v>199</v>
      </c>
      <c r="J260" t="s">
        <v>757</v>
      </c>
      <c r="K260" t="s">
        <v>201</v>
      </c>
      <c r="L260" t="s">
        <v>212</v>
      </c>
      <c r="Q260" t="s">
        <v>206</v>
      </c>
      <c r="R260" t="str">
        <f>"-"</f>
        <v>-</v>
      </c>
      <c r="S260" t="str">
        <f>"-"</f>
        <v>-</v>
      </c>
      <c r="T260" t="str">
        <f>"-"</f>
        <v>-</v>
      </c>
      <c r="U260" t="str">
        <f>"-"</f>
        <v>-</v>
      </c>
      <c r="AC260" t="str">
        <f>"2022-08-25T00:00:00"</f>
        <v>2022-08-25T00:00:00</v>
      </c>
      <c r="AD260" t="str">
        <f>"80"</f>
        <v>80</v>
      </c>
      <c r="AG260" t="s">
        <v>202</v>
      </c>
      <c r="AI260" t="s">
        <v>299</v>
      </c>
      <c r="AJ260" t="s">
        <v>570</v>
      </c>
      <c r="AK260" t="s">
        <v>434</v>
      </c>
      <c r="AL260" t="s">
        <v>206</v>
      </c>
      <c r="AN260" t="s">
        <v>254</v>
      </c>
      <c r="AO260">
        <v>2</v>
      </c>
      <c r="AP260" t="s">
        <v>208</v>
      </c>
      <c r="AQ260" t="s">
        <v>209</v>
      </c>
      <c r="AR260" t="s">
        <v>502</v>
      </c>
      <c r="AW260" t="s">
        <v>212</v>
      </c>
      <c r="AZ260" t="s">
        <v>209</v>
      </c>
      <c r="BI260" t="s">
        <v>212</v>
      </c>
      <c r="BJ260" t="s">
        <v>213</v>
      </c>
      <c r="BK260" t="s">
        <v>214</v>
      </c>
      <c r="BL260" t="s">
        <v>357</v>
      </c>
      <c r="BN260" t="s">
        <v>247</v>
      </c>
      <c r="BO260" t="s">
        <v>209</v>
      </c>
      <c r="BP260" t="s">
        <v>241</v>
      </c>
      <c r="BQ260">
        <v>3</v>
      </c>
      <c r="BS260" t="s">
        <v>220</v>
      </c>
      <c r="BU260" t="s">
        <v>212</v>
      </c>
      <c r="BZ260" t="s">
        <v>623</v>
      </c>
      <c r="CA260" t="s">
        <v>287</v>
      </c>
      <c r="CC260" t="s">
        <v>222</v>
      </c>
      <c r="CD260" t="s">
        <v>223</v>
      </c>
      <c r="CE260" t="s">
        <v>242</v>
      </c>
      <c r="CJ260" t="s">
        <v>206</v>
      </c>
      <c r="CK260" t="s">
        <v>230</v>
      </c>
      <c r="CL260" t="s">
        <v>231</v>
      </c>
      <c r="CM260" t="s">
        <v>232</v>
      </c>
      <c r="CN260" t="s">
        <v>233</v>
      </c>
      <c r="CP260" t="s">
        <v>212</v>
      </c>
      <c r="CQ260" t="s">
        <v>212</v>
      </c>
      <c r="CR260" t="s">
        <v>212</v>
      </c>
      <c r="CS260" t="s">
        <v>212</v>
      </c>
      <c r="CY260" t="s">
        <v>212</v>
      </c>
      <c r="DB260" t="s">
        <v>653</v>
      </c>
      <c r="DC260" t="str">
        <f>"№339 Трудности формирования чтения  и письма. Общее недоразвитие речи 3 уровня."</f>
        <v>№339 Трудности формирования чтения  и письма. Общее недоразвитие речи 3 уровня.</v>
      </c>
      <c r="DD260" t="str">
        <f>"2023-04-25T00:00:00"</f>
        <v>2023-04-25T00:00:00</v>
      </c>
      <c r="DE260" t="s">
        <v>212</v>
      </c>
      <c r="DF260" t="s">
        <v>206</v>
      </c>
      <c r="DG260" t="s">
        <v>235</v>
      </c>
      <c r="DH260" t="s">
        <v>212</v>
      </c>
      <c r="DJ260" t="s">
        <v>236</v>
      </c>
      <c r="DM260" t="s">
        <v>212</v>
      </c>
    </row>
    <row r="261" spans="1:184" x14ac:dyDescent="0.3">
      <c r="A261">
        <v>15575292</v>
      </c>
      <c r="B261">
        <v>861707</v>
      </c>
      <c r="C261" t="str">
        <f>"131121500664"</f>
        <v>131121500664</v>
      </c>
      <c r="D261" t="s">
        <v>1003</v>
      </c>
      <c r="E261" t="s">
        <v>826</v>
      </c>
      <c r="F261" t="s">
        <v>1004</v>
      </c>
      <c r="G261" s="1">
        <v>41599</v>
      </c>
      <c r="I261" t="s">
        <v>240</v>
      </c>
      <c r="J261" t="s">
        <v>200</v>
      </c>
      <c r="K261" t="s">
        <v>260</v>
      </c>
      <c r="Q261" t="s">
        <v>212</v>
      </c>
      <c r="R261" t="str">
        <f>"КАЗАХСТАН, АКМОЛИНСКАЯ, СТЕПНОГОРСК, 49, 15"</f>
        <v>КАЗАХСТАН, АКМОЛИНСКАЯ, СТЕПНОГОРСК, 49, 15</v>
      </c>
      <c r="S261" t="str">
        <f>"ҚАЗАҚСТАН, АҚМОЛА, СТЕПНОГОР, 49, 15"</f>
        <v>ҚАЗАҚСТАН, АҚМОЛА, СТЕПНОГОР, 49, 15</v>
      </c>
      <c r="T261" t="str">
        <f>"49, 15"</f>
        <v>49, 15</v>
      </c>
      <c r="U261" t="str">
        <f>"49, 15"</f>
        <v>49, 15</v>
      </c>
      <c r="AC261" t="str">
        <f>"2020-07-13T23:59:00"</f>
        <v>2020-07-13T23:59:00</v>
      </c>
      <c r="AD261" t="str">
        <f>"110"</f>
        <v>110</v>
      </c>
      <c r="AG261" t="s">
        <v>202</v>
      </c>
      <c r="AI261" t="s">
        <v>299</v>
      </c>
      <c r="AJ261" t="s">
        <v>501</v>
      </c>
      <c r="AK261" t="s">
        <v>205</v>
      </c>
      <c r="AL261" t="s">
        <v>206</v>
      </c>
      <c r="AN261" t="s">
        <v>207</v>
      </c>
      <c r="AO261">
        <v>1</v>
      </c>
      <c r="AP261" t="s">
        <v>208</v>
      </c>
      <c r="AQ261" t="s">
        <v>209</v>
      </c>
      <c r="AR261" t="s">
        <v>502</v>
      </c>
      <c r="AW261" t="s">
        <v>212</v>
      </c>
      <c r="AZ261" t="s">
        <v>209</v>
      </c>
      <c r="BI261" t="s">
        <v>212</v>
      </c>
      <c r="BJ261" t="s">
        <v>213</v>
      </c>
      <c r="BK261" t="s">
        <v>214</v>
      </c>
      <c r="BL261" t="s">
        <v>357</v>
      </c>
      <c r="BN261" t="s">
        <v>216</v>
      </c>
      <c r="BO261" t="s">
        <v>209</v>
      </c>
      <c r="BP261" t="s">
        <v>241</v>
      </c>
      <c r="BQ261">
        <v>4</v>
      </c>
      <c r="BS261" t="s">
        <v>219</v>
      </c>
      <c r="BT261" t="s">
        <v>220</v>
      </c>
      <c r="BU261" t="s">
        <v>206</v>
      </c>
      <c r="BX261" t="s">
        <v>221</v>
      </c>
      <c r="BY261" t="s">
        <v>221</v>
      </c>
      <c r="BZ261" t="s">
        <v>503</v>
      </c>
      <c r="CA261" t="s">
        <v>287</v>
      </c>
      <c r="CC261" t="s">
        <v>222</v>
      </c>
      <c r="CD261" t="s">
        <v>223</v>
      </c>
      <c r="CE261" t="s">
        <v>242</v>
      </c>
      <c r="CJ261" t="s">
        <v>206</v>
      </c>
      <c r="CK261" t="s">
        <v>230</v>
      </c>
      <c r="CL261" t="s">
        <v>231</v>
      </c>
      <c r="CM261" t="s">
        <v>232</v>
      </c>
      <c r="CN261" t="s">
        <v>233</v>
      </c>
      <c r="CP261" t="s">
        <v>212</v>
      </c>
      <c r="CQ261" t="s">
        <v>212</v>
      </c>
      <c r="CR261" t="s">
        <v>212</v>
      </c>
      <c r="CS261" t="s">
        <v>212</v>
      </c>
      <c r="CY261" t="s">
        <v>212</v>
      </c>
      <c r="DB261" t="s">
        <v>234</v>
      </c>
      <c r="DE261" t="s">
        <v>212</v>
      </c>
      <c r="DF261" t="s">
        <v>212</v>
      </c>
      <c r="DG261" t="s">
        <v>235</v>
      </c>
      <c r="DH261" t="s">
        <v>212</v>
      </c>
      <c r="DJ261" t="s">
        <v>236</v>
      </c>
      <c r="DM261" t="s">
        <v>212</v>
      </c>
    </row>
    <row r="262" spans="1:184" x14ac:dyDescent="0.3">
      <c r="A262">
        <v>15575019</v>
      </c>
      <c r="B262">
        <v>920493</v>
      </c>
      <c r="C262" t="str">
        <f>"131102603542"</f>
        <v>131102603542</v>
      </c>
      <c r="D262" t="s">
        <v>1005</v>
      </c>
      <c r="E262" t="s">
        <v>1006</v>
      </c>
      <c r="F262" t="s">
        <v>305</v>
      </c>
      <c r="G262" s="1">
        <v>41580</v>
      </c>
      <c r="I262" t="s">
        <v>199</v>
      </c>
      <c r="J262" t="s">
        <v>200</v>
      </c>
      <c r="K262" t="s">
        <v>260</v>
      </c>
      <c r="Q262" t="s">
        <v>212</v>
      </c>
      <c r="R262" t="str">
        <f>"КАЗАХСТАН, АКМОЛИНСКАЯ, СТЕПНОГОРСК, 23, 13"</f>
        <v>КАЗАХСТАН, АКМОЛИНСКАЯ, СТЕПНОГОРСК, 23, 13</v>
      </c>
      <c r="S262" t="str">
        <f>"ҚАЗАҚСТАН, АҚМОЛА, СТЕПНОГОР, 23, 13"</f>
        <v>ҚАЗАҚСТАН, АҚМОЛА, СТЕПНОГОР, 23, 13</v>
      </c>
      <c r="T262" t="str">
        <f>"23, 13"</f>
        <v>23, 13</v>
      </c>
      <c r="U262" t="str">
        <f>"23, 13"</f>
        <v>23, 13</v>
      </c>
      <c r="AC262" t="str">
        <f>"2020-06-05T23:04:00"</f>
        <v>2020-06-05T23:04:00</v>
      </c>
      <c r="AD262" t="str">
        <f>"85"</f>
        <v>85</v>
      </c>
      <c r="AG262" t="s">
        <v>202</v>
      </c>
      <c r="AI262" t="s">
        <v>299</v>
      </c>
      <c r="AJ262" t="s">
        <v>501</v>
      </c>
      <c r="AK262" t="s">
        <v>205</v>
      </c>
      <c r="AL262" t="s">
        <v>206</v>
      </c>
      <c r="AN262" t="s">
        <v>207</v>
      </c>
      <c r="AO262">
        <v>1</v>
      </c>
      <c r="AP262" t="s">
        <v>208</v>
      </c>
      <c r="AQ262" t="s">
        <v>209</v>
      </c>
      <c r="AR262" t="s">
        <v>502</v>
      </c>
      <c r="AW262" t="s">
        <v>212</v>
      </c>
      <c r="AZ262" t="s">
        <v>209</v>
      </c>
      <c r="BI262" t="s">
        <v>212</v>
      </c>
      <c r="BJ262" t="s">
        <v>213</v>
      </c>
      <c r="BK262" t="s">
        <v>214</v>
      </c>
      <c r="BL262" t="s">
        <v>357</v>
      </c>
      <c r="BN262" t="s">
        <v>216</v>
      </c>
      <c r="BO262" t="s">
        <v>209</v>
      </c>
      <c r="BP262" t="s">
        <v>241</v>
      </c>
      <c r="BQ262">
        <v>4</v>
      </c>
      <c r="BS262" t="s">
        <v>219</v>
      </c>
      <c r="BT262" t="s">
        <v>220</v>
      </c>
      <c r="BU262" t="s">
        <v>206</v>
      </c>
      <c r="BX262" t="s">
        <v>221</v>
      </c>
      <c r="BY262" t="s">
        <v>221</v>
      </c>
      <c r="BZ262" t="s">
        <v>503</v>
      </c>
      <c r="CA262" t="s">
        <v>287</v>
      </c>
      <c r="CC262" t="s">
        <v>222</v>
      </c>
      <c r="CD262" t="s">
        <v>223</v>
      </c>
      <c r="CE262" t="s">
        <v>242</v>
      </c>
      <c r="CJ262" t="s">
        <v>206</v>
      </c>
      <c r="CK262" t="s">
        <v>230</v>
      </c>
      <c r="CL262" t="s">
        <v>231</v>
      </c>
      <c r="CM262" t="s">
        <v>232</v>
      </c>
      <c r="CN262" t="s">
        <v>233</v>
      </c>
      <c r="CP262" t="s">
        <v>212</v>
      </c>
      <c r="CQ262" t="s">
        <v>212</v>
      </c>
      <c r="CR262" t="s">
        <v>212</v>
      </c>
      <c r="CS262" t="s">
        <v>212</v>
      </c>
      <c r="CY262" t="s">
        <v>212</v>
      </c>
      <c r="DB262" t="s">
        <v>234</v>
      </c>
      <c r="DE262" t="s">
        <v>212</v>
      </c>
      <c r="DF262" t="s">
        <v>212</v>
      </c>
      <c r="DG262" t="s">
        <v>235</v>
      </c>
      <c r="DH262" t="s">
        <v>212</v>
      </c>
      <c r="DJ262" t="s">
        <v>236</v>
      </c>
      <c r="DM262" t="s">
        <v>212</v>
      </c>
    </row>
    <row r="263" spans="1:184" x14ac:dyDescent="0.3">
      <c r="A263">
        <v>15574991</v>
      </c>
      <c r="B263">
        <v>763739</v>
      </c>
      <c r="C263" t="str">
        <f>"131008600408"</f>
        <v>131008600408</v>
      </c>
      <c r="D263" t="s">
        <v>1007</v>
      </c>
      <c r="E263" t="s">
        <v>1008</v>
      </c>
      <c r="F263" t="s">
        <v>1009</v>
      </c>
      <c r="G263" s="1">
        <v>41555</v>
      </c>
      <c r="I263" t="s">
        <v>199</v>
      </c>
      <c r="J263" t="s">
        <v>200</v>
      </c>
      <c r="K263" t="s">
        <v>1010</v>
      </c>
      <c r="Q263" t="s">
        <v>212</v>
      </c>
      <c r="R263" t="str">
        <f>"КАЗАХСТАН, АКМОЛИНСКАЯ, СТЕПНОГОРСК, 45, 52"</f>
        <v>КАЗАХСТАН, АКМОЛИНСКАЯ, СТЕПНОГОРСК, 45, 52</v>
      </c>
      <c r="S263" t="str">
        <f>"ҚАЗАҚСТАН, АҚМОЛА, СТЕПНОГОР, 45, 52"</f>
        <v>ҚАЗАҚСТАН, АҚМОЛА, СТЕПНОГОР, 45, 52</v>
      </c>
      <c r="T263" t="str">
        <f>"45, 52"</f>
        <v>45, 52</v>
      </c>
      <c r="U263" t="str">
        <f>"45, 52"</f>
        <v>45, 52</v>
      </c>
      <c r="AC263" t="str">
        <f>"2020-06-15T22:56:00"</f>
        <v>2020-06-15T22:56:00</v>
      </c>
      <c r="AD263" t="str">
        <f>"93"</f>
        <v>93</v>
      </c>
      <c r="AG263" t="s">
        <v>202</v>
      </c>
      <c r="AI263" t="s">
        <v>203</v>
      </c>
      <c r="AJ263" t="s">
        <v>501</v>
      </c>
      <c r="AK263" t="s">
        <v>205</v>
      </c>
      <c r="AL263" t="s">
        <v>206</v>
      </c>
      <c r="AN263" t="s">
        <v>207</v>
      </c>
      <c r="AO263">
        <v>1</v>
      </c>
      <c r="AP263" t="s">
        <v>208</v>
      </c>
      <c r="AQ263" t="s">
        <v>209</v>
      </c>
      <c r="AR263" t="s">
        <v>502</v>
      </c>
      <c r="AW263" t="s">
        <v>212</v>
      </c>
      <c r="AZ263" t="s">
        <v>209</v>
      </c>
      <c r="BI263" t="s">
        <v>212</v>
      </c>
      <c r="BJ263" t="s">
        <v>213</v>
      </c>
      <c r="BK263" t="s">
        <v>214</v>
      </c>
      <c r="BL263" t="s">
        <v>357</v>
      </c>
      <c r="BN263" t="s">
        <v>247</v>
      </c>
      <c r="BO263" t="s">
        <v>209</v>
      </c>
      <c r="BP263" t="s">
        <v>241</v>
      </c>
      <c r="BQ263">
        <v>3</v>
      </c>
      <c r="BS263" t="s">
        <v>219</v>
      </c>
      <c r="BT263" t="s">
        <v>220</v>
      </c>
      <c r="BU263" t="s">
        <v>206</v>
      </c>
      <c r="BX263" t="s">
        <v>234</v>
      </c>
      <c r="BY263" t="s">
        <v>234</v>
      </c>
      <c r="BZ263" t="s">
        <v>503</v>
      </c>
      <c r="CA263" t="s">
        <v>287</v>
      </c>
      <c r="CC263" t="s">
        <v>222</v>
      </c>
      <c r="CD263" t="s">
        <v>223</v>
      </c>
      <c r="CE263" t="s">
        <v>242</v>
      </c>
      <c r="CJ263" t="s">
        <v>206</v>
      </c>
      <c r="CK263" t="s">
        <v>230</v>
      </c>
      <c r="CL263" t="s">
        <v>231</v>
      </c>
      <c r="CM263" t="s">
        <v>232</v>
      </c>
      <c r="CN263" t="s">
        <v>233</v>
      </c>
      <c r="CP263" t="s">
        <v>212</v>
      </c>
      <c r="CQ263" t="s">
        <v>212</v>
      </c>
      <c r="CR263" t="s">
        <v>212</v>
      </c>
      <c r="CS263" t="s">
        <v>212</v>
      </c>
      <c r="CY263" t="s">
        <v>212</v>
      </c>
      <c r="DB263" t="s">
        <v>1011</v>
      </c>
      <c r="DC263" t="str">
        <f>"№343  Лёгкими нарушениями интеллекта."</f>
        <v>№343  Лёгкими нарушениями интеллекта.</v>
      </c>
      <c r="DD263" t="str">
        <f>"2023-04-25T00:00:00"</f>
        <v>2023-04-25T00:00:00</v>
      </c>
      <c r="DE263" t="s">
        <v>212</v>
      </c>
      <c r="DF263" t="s">
        <v>212</v>
      </c>
      <c r="DG263" t="s">
        <v>235</v>
      </c>
      <c r="DH263" t="s">
        <v>212</v>
      </c>
      <c r="DJ263" t="s">
        <v>236</v>
      </c>
      <c r="DM263" t="s">
        <v>212</v>
      </c>
    </row>
    <row r="264" spans="1:184" x14ac:dyDescent="0.3">
      <c r="A264">
        <v>15574965</v>
      </c>
      <c r="B264">
        <v>859292</v>
      </c>
      <c r="C264" t="str">
        <f>"130716601899"</f>
        <v>130716601899</v>
      </c>
      <c r="D264" t="s">
        <v>1012</v>
      </c>
      <c r="E264" t="s">
        <v>1013</v>
      </c>
      <c r="F264" t="s">
        <v>460</v>
      </c>
      <c r="G264" s="1">
        <v>41471</v>
      </c>
      <c r="I264" t="s">
        <v>199</v>
      </c>
      <c r="J264" t="s">
        <v>200</v>
      </c>
      <c r="K264" t="s">
        <v>201</v>
      </c>
      <c r="Q264" t="s">
        <v>212</v>
      </c>
      <c r="R264" t="str">
        <f>"КАЗАХСТАН, АКМОЛИНСКАЯ, СТЕПНОГОРСК, 17, 206"</f>
        <v>КАЗАХСТАН, АКМОЛИНСКАЯ, СТЕПНОГОРСК, 17, 206</v>
      </c>
      <c r="S264" t="str">
        <f>"ҚАЗАҚСТАН, АҚМОЛА, СТЕПНОГОР, 17, 206"</f>
        <v>ҚАЗАҚСТАН, АҚМОЛА, СТЕПНОГОР, 17, 206</v>
      </c>
      <c r="T264" t="str">
        <f>"17, 206"</f>
        <v>17, 206</v>
      </c>
      <c r="U264" t="str">
        <f>"17, 206"</f>
        <v>17, 206</v>
      </c>
      <c r="AC264" t="str">
        <f>"2020-06-22T22:53:00"</f>
        <v>2020-06-22T22:53:00</v>
      </c>
      <c r="AD264" t="str">
        <f>"98"</f>
        <v>98</v>
      </c>
      <c r="AG264" t="s">
        <v>202</v>
      </c>
      <c r="AI264" t="s">
        <v>203</v>
      </c>
      <c r="AJ264" t="s">
        <v>501</v>
      </c>
      <c r="AK264" t="s">
        <v>205</v>
      </c>
      <c r="AL264" t="s">
        <v>206</v>
      </c>
      <c r="AN264" t="s">
        <v>207</v>
      </c>
      <c r="AO264">
        <v>1</v>
      </c>
      <c r="AP264" t="s">
        <v>208</v>
      </c>
      <c r="AQ264" t="s">
        <v>209</v>
      </c>
      <c r="AR264" t="s">
        <v>502</v>
      </c>
      <c r="AW264" t="s">
        <v>212</v>
      </c>
      <c r="AZ264" t="s">
        <v>209</v>
      </c>
      <c r="BI264" t="s">
        <v>212</v>
      </c>
      <c r="BJ264" t="s">
        <v>213</v>
      </c>
      <c r="BK264" t="s">
        <v>214</v>
      </c>
      <c r="BL264" t="s">
        <v>357</v>
      </c>
      <c r="BN264" t="s">
        <v>216</v>
      </c>
      <c r="BO264" t="s">
        <v>209</v>
      </c>
      <c r="BP264" t="s">
        <v>415</v>
      </c>
      <c r="BQ264" t="s">
        <v>673</v>
      </c>
      <c r="BS264" t="s">
        <v>219</v>
      </c>
      <c r="BT264" t="s">
        <v>220</v>
      </c>
      <c r="BU264" t="s">
        <v>206</v>
      </c>
      <c r="BX264" t="s">
        <v>221</v>
      </c>
      <c r="BY264" t="s">
        <v>221</v>
      </c>
      <c r="BZ264" t="s">
        <v>503</v>
      </c>
      <c r="CA264" t="s">
        <v>287</v>
      </c>
      <c r="CC264" t="s">
        <v>222</v>
      </c>
      <c r="CD264" t="s">
        <v>223</v>
      </c>
      <c r="CE264" t="s">
        <v>242</v>
      </c>
      <c r="CJ264" t="s">
        <v>206</v>
      </c>
      <c r="CK264" t="s">
        <v>230</v>
      </c>
      <c r="CL264" t="s">
        <v>231</v>
      </c>
      <c r="CM264" t="s">
        <v>232</v>
      </c>
      <c r="CN264" t="s">
        <v>233</v>
      </c>
      <c r="CP264" t="s">
        <v>212</v>
      </c>
      <c r="CQ264" t="s">
        <v>212</v>
      </c>
      <c r="CR264" t="s">
        <v>212</v>
      </c>
      <c r="CS264" t="s">
        <v>212</v>
      </c>
      <c r="CY264" t="s">
        <v>212</v>
      </c>
      <c r="DB264" t="s">
        <v>234</v>
      </c>
      <c r="DE264" t="s">
        <v>212</v>
      </c>
      <c r="DF264" t="s">
        <v>212</v>
      </c>
      <c r="DG264" t="s">
        <v>235</v>
      </c>
      <c r="DH264" t="s">
        <v>212</v>
      </c>
      <c r="DJ264" t="s">
        <v>236</v>
      </c>
      <c r="DM264" t="s">
        <v>212</v>
      </c>
    </row>
    <row r="265" spans="1:184" x14ac:dyDescent="0.3">
      <c r="A265">
        <v>15525629</v>
      </c>
      <c r="B265">
        <v>840577</v>
      </c>
      <c r="C265" t="str">
        <f>"140622600316"</f>
        <v>140622600316</v>
      </c>
      <c r="D265" t="s">
        <v>435</v>
      </c>
      <c r="E265" t="s">
        <v>770</v>
      </c>
      <c r="F265" t="s">
        <v>1014</v>
      </c>
      <c r="G265" s="1">
        <v>41812</v>
      </c>
      <c r="I265" t="s">
        <v>199</v>
      </c>
      <c r="J265" t="s">
        <v>200</v>
      </c>
      <c r="K265" t="s">
        <v>201</v>
      </c>
      <c r="R265" t="str">
        <f>"КАЗАХСТАН, АКМОЛИНСКАЯ, СТЕПНОГОРСК, 22, 46"</f>
        <v>КАЗАХСТАН, АКМОЛИНСКАЯ, СТЕПНОГОРСК, 22, 46</v>
      </c>
      <c r="S265" t="str">
        <f>"ҚАЗАҚСТАН, АҚМОЛА, СТЕПНОГОР, 22, 46"</f>
        <v>ҚАЗАҚСТАН, АҚМОЛА, СТЕПНОГОР, 22, 46</v>
      </c>
      <c r="T265" t="str">
        <f>"22, 46"</f>
        <v>22, 46</v>
      </c>
      <c r="U265" t="str">
        <f>"22, 46"</f>
        <v>22, 46</v>
      </c>
      <c r="AC265" t="str">
        <f>"2020-07-10T16:32:00"</f>
        <v>2020-07-10T16:32:00</v>
      </c>
      <c r="AD265" t="str">
        <f>"109"</f>
        <v>109</v>
      </c>
      <c r="AG265" t="s">
        <v>202</v>
      </c>
      <c r="AI265" t="s">
        <v>274</v>
      </c>
      <c r="AJ265" t="s">
        <v>501</v>
      </c>
      <c r="AK265" t="s">
        <v>253</v>
      </c>
      <c r="AL265" t="s">
        <v>206</v>
      </c>
      <c r="AN265" t="s">
        <v>254</v>
      </c>
      <c r="AO265">
        <v>1</v>
      </c>
      <c r="AP265" t="s">
        <v>208</v>
      </c>
      <c r="AQ265" t="s">
        <v>209</v>
      </c>
      <c r="AR265" t="s">
        <v>502</v>
      </c>
      <c r="AW265" t="s">
        <v>212</v>
      </c>
      <c r="AZ265" t="s">
        <v>209</v>
      </c>
      <c r="BI265" t="s">
        <v>212</v>
      </c>
      <c r="BJ265" t="s">
        <v>213</v>
      </c>
      <c r="BK265" t="s">
        <v>214</v>
      </c>
      <c r="BL265" t="s">
        <v>357</v>
      </c>
      <c r="BN265" t="s">
        <v>216</v>
      </c>
      <c r="BO265" t="s">
        <v>209</v>
      </c>
      <c r="BP265" t="s">
        <v>241</v>
      </c>
      <c r="BQ265">
        <v>4</v>
      </c>
      <c r="BS265" t="s">
        <v>219</v>
      </c>
      <c r="BT265" t="s">
        <v>220</v>
      </c>
      <c r="BU265" t="s">
        <v>206</v>
      </c>
      <c r="BX265" t="s">
        <v>221</v>
      </c>
      <c r="BY265" t="s">
        <v>221</v>
      </c>
      <c r="BZ265" t="s">
        <v>503</v>
      </c>
      <c r="CA265" t="s">
        <v>287</v>
      </c>
      <c r="CC265" t="s">
        <v>222</v>
      </c>
      <c r="CD265" t="s">
        <v>223</v>
      </c>
      <c r="CE265" t="s">
        <v>242</v>
      </c>
      <c r="CJ265" t="s">
        <v>206</v>
      </c>
      <c r="CK265" t="s">
        <v>230</v>
      </c>
      <c r="CL265" t="s">
        <v>231</v>
      </c>
      <c r="CM265" t="s">
        <v>232</v>
      </c>
      <c r="CN265" t="s">
        <v>233</v>
      </c>
      <c r="CP265" t="s">
        <v>212</v>
      </c>
      <c r="CQ265" t="s">
        <v>212</v>
      </c>
      <c r="CR265" t="s">
        <v>212</v>
      </c>
      <c r="CS265" t="s">
        <v>212</v>
      </c>
      <c r="CY265" t="s">
        <v>212</v>
      </c>
      <c r="DB265" t="s">
        <v>234</v>
      </c>
      <c r="DE265" t="s">
        <v>212</v>
      </c>
      <c r="DF265" t="s">
        <v>212</v>
      </c>
      <c r="DG265" t="s">
        <v>235</v>
      </c>
      <c r="DH265" t="s">
        <v>212</v>
      </c>
      <c r="DJ265" t="s">
        <v>236</v>
      </c>
      <c r="DM265" t="s">
        <v>212</v>
      </c>
    </row>
    <row r="266" spans="1:184" x14ac:dyDescent="0.3">
      <c r="A266">
        <v>24426859</v>
      </c>
      <c r="B266">
        <v>841445</v>
      </c>
      <c r="C266" t="str">
        <f>"160515500649"</f>
        <v>160515500649</v>
      </c>
      <c r="D266" t="s">
        <v>1015</v>
      </c>
      <c r="E266" t="s">
        <v>1016</v>
      </c>
      <c r="F266" t="s">
        <v>1017</v>
      </c>
      <c r="G266" s="1">
        <v>42505</v>
      </c>
      <c r="I266" t="s">
        <v>240</v>
      </c>
      <c r="J266" t="s">
        <v>200</v>
      </c>
      <c r="K266" t="s">
        <v>201</v>
      </c>
      <c r="Q266" t="s">
        <v>212</v>
      </c>
      <c r="R266" t="str">
        <f>"КАЗАХСТАН, АКМОЛИНСКАЯ, СТЕПНОГОРСК, -, 33, 6"</f>
        <v>КАЗАХСТАН, АКМОЛИНСКАЯ, СТЕПНОГОРСК, -, 33, 6</v>
      </c>
      <c r="S266" t="str">
        <f>"ҚАЗАҚСТАН, АҚМОЛА, СТЕПНОГОР, -, 33, 6"</f>
        <v>ҚАЗАҚСТАН, АҚМОЛА, СТЕПНОГОР, -, 33, 6</v>
      </c>
      <c r="T266" t="str">
        <f>"-, 33, 6"</f>
        <v>-, 33, 6</v>
      </c>
      <c r="U266" t="str">
        <f>"-, 33, 6"</f>
        <v>-, 33, 6</v>
      </c>
      <c r="AC266" t="str">
        <f>"2022-08-25T00:00:00"</f>
        <v>2022-08-25T00:00:00</v>
      </c>
      <c r="AD266" t="str">
        <f>"201"</f>
        <v>201</v>
      </c>
      <c r="AG266" t="s">
        <v>202</v>
      </c>
      <c r="AI266" t="s">
        <v>269</v>
      </c>
      <c r="AJ266" t="s">
        <v>660</v>
      </c>
      <c r="AK266" t="s">
        <v>434</v>
      </c>
      <c r="AL266" t="s">
        <v>206</v>
      </c>
      <c r="AN266" t="s">
        <v>254</v>
      </c>
      <c r="AO266">
        <v>1</v>
      </c>
      <c r="AP266" t="s">
        <v>208</v>
      </c>
      <c r="AQ266" t="s">
        <v>209</v>
      </c>
      <c r="AR266" t="s">
        <v>502</v>
      </c>
      <c r="AW266" t="s">
        <v>212</v>
      </c>
      <c r="AZ266" t="s">
        <v>209</v>
      </c>
      <c r="BI266" t="s">
        <v>212</v>
      </c>
      <c r="BJ266" t="s">
        <v>213</v>
      </c>
      <c r="BK266" t="s">
        <v>214</v>
      </c>
      <c r="BL266" t="s">
        <v>357</v>
      </c>
      <c r="BN266" t="s">
        <v>661</v>
      </c>
      <c r="BO266" t="s">
        <v>209</v>
      </c>
      <c r="BS266" t="s">
        <v>220</v>
      </c>
      <c r="BU266" t="s">
        <v>212</v>
      </c>
      <c r="BZ266" t="s">
        <v>662</v>
      </c>
      <c r="CA266" t="s">
        <v>222</v>
      </c>
      <c r="CB266" t="s">
        <v>223</v>
      </c>
      <c r="CC266" t="s">
        <v>209</v>
      </c>
      <c r="CE266" t="s">
        <v>242</v>
      </c>
      <c r="CJ266" t="s">
        <v>206</v>
      </c>
      <c r="CK266" t="s">
        <v>230</v>
      </c>
      <c r="CL266" t="s">
        <v>231</v>
      </c>
      <c r="CM266" t="s">
        <v>232</v>
      </c>
      <c r="CN266" t="s">
        <v>233</v>
      </c>
      <c r="CP266" t="s">
        <v>212</v>
      </c>
      <c r="CQ266" t="s">
        <v>212</v>
      </c>
      <c r="CR266" t="s">
        <v>212</v>
      </c>
      <c r="CS266" t="s">
        <v>212</v>
      </c>
      <c r="CY266" t="s">
        <v>212</v>
      </c>
      <c r="DB266" t="s">
        <v>234</v>
      </c>
      <c r="DE266" t="s">
        <v>212</v>
      </c>
      <c r="DF266" t="s">
        <v>212</v>
      </c>
      <c r="DG266" t="s">
        <v>235</v>
      </c>
      <c r="DH266" t="s">
        <v>212</v>
      </c>
      <c r="DJ266" t="s">
        <v>236</v>
      </c>
      <c r="DM266" t="s">
        <v>206</v>
      </c>
      <c r="GB266" t="s">
        <v>206</v>
      </c>
    </row>
    <row r="267" spans="1:184" x14ac:dyDescent="0.3">
      <c r="A267">
        <v>24428093</v>
      </c>
      <c r="B267">
        <v>165317</v>
      </c>
      <c r="C267" t="str">
        <f>"111021600772"</f>
        <v>111021600772</v>
      </c>
      <c r="D267" t="s">
        <v>1018</v>
      </c>
      <c r="E267" t="s">
        <v>266</v>
      </c>
      <c r="F267" t="s">
        <v>574</v>
      </c>
      <c r="G267" s="1">
        <v>40837</v>
      </c>
      <c r="I267" t="s">
        <v>199</v>
      </c>
      <c r="J267" t="s">
        <v>200</v>
      </c>
      <c r="K267" t="s">
        <v>260</v>
      </c>
      <c r="R267" t="str">
        <f>"КАЗАХСТАН, АКМОЛИНСКАЯ, СТЕПНОГОРСК, -, 68, 10"</f>
        <v>КАЗАХСТАН, АКМОЛИНСКАЯ, СТЕПНОГОРСК, -, 68, 10</v>
      </c>
      <c r="S267" t="str">
        <f>"ҚАЗАҚСТАН, АҚМОЛА, СТЕПНОГОР, -, 68, 10"</f>
        <v>ҚАЗАҚСТАН, АҚМОЛА, СТЕПНОГОР, -, 68, 10</v>
      </c>
      <c r="T267" t="str">
        <f>"-, 68, 10"</f>
        <v>-, 68, 10</v>
      </c>
      <c r="U267" t="str">
        <f>"-, 68, 10"</f>
        <v>-, 68, 10</v>
      </c>
      <c r="AC267" t="str">
        <f>"2023-01-09T00:00:00"</f>
        <v>2023-01-09T00:00:00</v>
      </c>
      <c r="AD267" t="str">
        <f>"88"</f>
        <v>88</v>
      </c>
      <c r="AG267" t="s">
        <v>202</v>
      </c>
      <c r="AI267" t="s">
        <v>299</v>
      </c>
      <c r="AJ267" t="s">
        <v>348</v>
      </c>
      <c r="AK267" t="s">
        <v>205</v>
      </c>
      <c r="AL267" t="s">
        <v>206</v>
      </c>
      <c r="AN267" t="s">
        <v>207</v>
      </c>
      <c r="AO267">
        <v>1</v>
      </c>
      <c r="AP267" t="s">
        <v>208</v>
      </c>
      <c r="AQ267" t="s">
        <v>209</v>
      </c>
      <c r="AR267" t="s">
        <v>210</v>
      </c>
      <c r="AW267" t="s">
        <v>206</v>
      </c>
      <c r="AX267" t="s">
        <v>211</v>
      </c>
      <c r="AZ267" t="s">
        <v>209</v>
      </c>
      <c r="BI267" t="s">
        <v>212</v>
      </c>
      <c r="BJ267" t="s">
        <v>213</v>
      </c>
      <c r="BK267" t="s">
        <v>214</v>
      </c>
      <c r="BL267" t="s">
        <v>215</v>
      </c>
      <c r="BN267" t="s">
        <v>281</v>
      </c>
      <c r="BO267" t="s">
        <v>209</v>
      </c>
      <c r="BP267" t="s">
        <v>241</v>
      </c>
      <c r="BQ267">
        <v>5</v>
      </c>
      <c r="BS267" t="s">
        <v>219</v>
      </c>
      <c r="BT267" t="s">
        <v>220</v>
      </c>
      <c r="BU267" t="s">
        <v>206</v>
      </c>
      <c r="CA267" t="s">
        <v>287</v>
      </c>
      <c r="CC267" t="s">
        <v>282</v>
      </c>
      <c r="CD267" t="s">
        <v>349</v>
      </c>
      <c r="CE267" t="s">
        <v>342</v>
      </c>
      <c r="CF267" t="s">
        <v>226</v>
      </c>
      <c r="CG267" t="s">
        <v>227</v>
      </c>
      <c r="CH267" t="s">
        <v>1019</v>
      </c>
      <c r="CI267" t="s">
        <v>1020</v>
      </c>
      <c r="CJ267" t="s">
        <v>206</v>
      </c>
      <c r="CK267" t="s">
        <v>230</v>
      </c>
      <c r="CL267" t="s">
        <v>231</v>
      </c>
      <c r="CM267" t="s">
        <v>232</v>
      </c>
      <c r="CN267" t="s">
        <v>233</v>
      </c>
      <c r="CP267" t="s">
        <v>212</v>
      </c>
      <c r="CQ267" t="s">
        <v>212</v>
      </c>
      <c r="CR267" t="s">
        <v>212</v>
      </c>
      <c r="CS267" t="s">
        <v>212</v>
      </c>
      <c r="CY267" t="s">
        <v>212</v>
      </c>
      <c r="DB267" t="s">
        <v>234</v>
      </c>
      <c r="DE267" t="s">
        <v>212</v>
      </c>
      <c r="DF267" t="s">
        <v>212</v>
      </c>
      <c r="DG267" t="s">
        <v>235</v>
      </c>
      <c r="DH267" t="s">
        <v>212</v>
      </c>
      <c r="DJ267" t="s">
        <v>236</v>
      </c>
      <c r="DM267" t="s">
        <v>212</v>
      </c>
    </row>
    <row r="268" spans="1:184" x14ac:dyDescent="0.3">
      <c r="A268">
        <v>15520553</v>
      </c>
      <c r="B268">
        <v>761799</v>
      </c>
      <c r="C268" t="str">
        <f>"120822601249"</f>
        <v>120822601249</v>
      </c>
      <c r="D268" t="s">
        <v>885</v>
      </c>
      <c r="E268" t="s">
        <v>1021</v>
      </c>
      <c r="F268" t="s">
        <v>886</v>
      </c>
      <c r="G268" s="1">
        <v>41143</v>
      </c>
      <c r="I268" t="s">
        <v>199</v>
      </c>
      <c r="J268" t="s">
        <v>200</v>
      </c>
      <c r="K268" t="s">
        <v>201</v>
      </c>
      <c r="Q268" t="s">
        <v>212</v>
      </c>
      <c r="R268" t="str">
        <f>"КАЗАХСТАН, АКМОЛИНСКАЯ, СТЕПНОГОРСК, 78, 25"</f>
        <v>КАЗАХСТАН, АКМОЛИНСКАЯ, СТЕПНОГОРСК, 78, 25</v>
      </c>
      <c r="S268" t="str">
        <f>"ҚАЗАҚСТАН, АҚМОЛА, СТЕПНОГОР, 78, 25"</f>
        <v>ҚАЗАҚСТАН, АҚМОЛА, СТЕПНОГОР, 78, 25</v>
      </c>
      <c r="T268" t="str">
        <f>"78, 25"</f>
        <v>78, 25</v>
      </c>
      <c r="U268" t="str">
        <f>"78, 25"</f>
        <v>78, 25</v>
      </c>
      <c r="AC268" t="str">
        <f>"2020-08-11T23:49:00"</f>
        <v>2020-08-11T23:49:00</v>
      </c>
      <c r="AD268" t="str">
        <f>"131"</f>
        <v>131</v>
      </c>
      <c r="AG268" t="s">
        <v>202</v>
      </c>
      <c r="AI268" t="s">
        <v>299</v>
      </c>
      <c r="AJ268" t="s">
        <v>419</v>
      </c>
      <c r="AK268" t="s">
        <v>246</v>
      </c>
      <c r="AL268" t="s">
        <v>206</v>
      </c>
      <c r="AN268" t="s">
        <v>207</v>
      </c>
      <c r="AO268">
        <v>1</v>
      </c>
      <c r="AP268" t="s">
        <v>208</v>
      </c>
      <c r="AQ268" t="s">
        <v>209</v>
      </c>
      <c r="AR268" t="s">
        <v>210</v>
      </c>
      <c r="AW268" t="s">
        <v>206</v>
      </c>
      <c r="AX268" t="s">
        <v>211</v>
      </c>
      <c r="AZ268" t="s">
        <v>209</v>
      </c>
      <c r="BI268" t="s">
        <v>212</v>
      </c>
      <c r="BJ268" t="s">
        <v>213</v>
      </c>
      <c r="BK268" t="s">
        <v>214</v>
      </c>
      <c r="BL268" t="s">
        <v>215</v>
      </c>
      <c r="BN268" t="s">
        <v>247</v>
      </c>
      <c r="BO268" t="s">
        <v>209</v>
      </c>
      <c r="BP268" t="s">
        <v>415</v>
      </c>
      <c r="BQ268" t="s">
        <v>416</v>
      </c>
      <c r="BS268" t="s">
        <v>219</v>
      </c>
      <c r="BT268" t="s">
        <v>220</v>
      </c>
      <c r="BU268" t="s">
        <v>206</v>
      </c>
      <c r="BX268" t="s">
        <v>221</v>
      </c>
      <c r="BY268" t="s">
        <v>221</v>
      </c>
      <c r="CA268" t="s">
        <v>287</v>
      </c>
      <c r="CC268" t="s">
        <v>353</v>
      </c>
      <c r="CD268" t="s">
        <v>223</v>
      </c>
      <c r="CE268" t="s">
        <v>242</v>
      </c>
      <c r="CJ268" t="s">
        <v>206</v>
      </c>
      <c r="CK268" t="s">
        <v>230</v>
      </c>
      <c r="CL268" t="s">
        <v>231</v>
      </c>
      <c r="CM268" t="s">
        <v>232</v>
      </c>
      <c r="CN268" t="s">
        <v>233</v>
      </c>
      <c r="CP268" t="s">
        <v>212</v>
      </c>
      <c r="CQ268" t="s">
        <v>212</v>
      </c>
      <c r="CR268" t="s">
        <v>212</v>
      </c>
      <c r="CS268" t="s">
        <v>212</v>
      </c>
      <c r="CY268" t="s">
        <v>212</v>
      </c>
      <c r="DB268" t="s">
        <v>234</v>
      </c>
      <c r="DE268" t="s">
        <v>212</v>
      </c>
      <c r="DF268" t="s">
        <v>212</v>
      </c>
      <c r="DG268" t="s">
        <v>235</v>
      </c>
      <c r="DH268" t="s">
        <v>212</v>
      </c>
      <c r="DJ268" t="s">
        <v>236</v>
      </c>
      <c r="DM268" t="s">
        <v>206</v>
      </c>
    </row>
    <row r="269" spans="1:184" x14ac:dyDescent="0.3">
      <c r="A269">
        <v>15516892</v>
      </c>
      <c r="B269">
        <v>4262384</v>
      </c>
      <c r="C269" t="str">
        <f>"130228600312"</f>
        <v>130228600312</v>
      </c>
      <c r="D269" t="s">
        <v>1022</v>
      </c>
      <c r="E269" t="s">
        <v>1023</v>
      </c>
      <c r="F269" t="s">
        <v>1024</v>
      </c>
      <c r="G269" s="1">
        <v>41333</v>
      </c>
      <c r="I269" t="s">
        <v>199</v>
      </c>
      <c r="J269" t="s">
        <v>200</v>
      </c>
      <c r="K269" t="s">
        <v>201</v>
      </c>
      <c r="Q269" t="s">
        <v>212</v>
      </c>
      <c r="R269" t="str">
        <f>"КАЗАХСТАН, С-КАЗАХСТАНСКАЯ, ТАЙЫНШИНСКИЙ РАЙОН, АУДАНДЫҚ МАҢЫЗЫ БАР ҚАЛАСЫ  Тайынша, 42"</f>
        <v>КАЗАХСТАН, С-КАЗАХСТАНСКАЯ, ТАЙЫНШИНСКИЙ РАЙОН, АУДАНДЫҚ МАҢЫЗЫ БАР ҚАЛАСЫ  Тайынша, 42</v>
      </c>
      <c r="S269" t="str">
        <f>"ҚАЗАҚСТАН, СОЛ-ҚАЗАҚСТАН, ТАЙЫНША АУДАНЫ, АУДАНДЫҚ МАҢЫЗЫ БАР ҚАЛАСЫ  Тайынша, 42"</f>
        <v>ҚАЗАҚСТАН, СОЛ-ҚАЗАҚСТАН, ТАЙЫНША АУДАНЫ, АУДАНДЫҚ МАҢЫЗЫ БАР ҚАЛАСЫ  Тайынша, 42</v>
      </c>
      <c r="T269" t="str">
        <f>"АУДАНДЫҚ МАҢЫЗЫ БАР ҚАЛАСЫ  Тайынша, 42"</f>
        <v>АУДАНДЫҚ МАҢЫЗЫ БАР ҚАЛАСЫ  Тайынша, 42</v>
      </c>
      <c r="U269" t="str">
        <f>"АУДАНДЫҚ МАҢЫЗЫ БАР ҚАЛАСЫ  Тайынша, 42"</f>
        <v>АУДАНДЫҚ МАҢЫЗЫ БАР ҚАЛАСЫ  Тайынша, 42</v>
      </c>
      <c r="AC269" t="str">
        <f>"2020-06-10T10:57:00"</f>
        <v>2020-06-10T10:57:00</v>
      </c>
      <c r="AD269" t="str">
        <f>"93"</f>
        <v>93</v>
      </c>
      <c r="AG269" t="s">
        <v>646</v>
      </c>
      <c r="AI269" t="s">
        <v>274</v>
      </c>
      <c r="AJ269" t="s">
        <v>419</v>
      </c>
      <c r="AK269" t="s">
        <v>434</v>
      </c>
      <c r="AL269" t="s">
        <v>206</v>
      </c>
      <c r="AN269" t="s">
        <v>254</v>
      </c>
      <c r="AO269">
        <v>1</v>
      </c>
      <c r="AP269" t="s">
        <v>208</v>
      </c>
      <c r="AQ269" t="s">
        <v>209</v>
      </c>
      <c r="AR269" t="s">
        <v>210</v>
      </c>
      <c r="AW269" t="s">
        <v>206</v>
      </c>
      <c r="AX269" t="s">
        <v>211</v>
      </c>
      <c r="AZ269" t="s">
        <v>209</v>
      </c>
      <c r="BI269" t="s">
        <v>212</v>
      </c>
      <c r="BJ269" t="s">
        <v>213</v>
      </c>
      <c r="BK269" t="s">
        <v>214</v>
      </c>
      <c r="BL269" t="s">
        <v>357</v>
      </c>
      <c r="BN269" t="s">
        <v>216</v>
      </c>
      <c r="BO269" t="s">
        <v>209</v>
      </c>
      <c r="BP269" t="s">
        <v>241</v>
      </c>
      <c r="BQ269">
        <v>4</v>
      </c>
      <c r="BS269" t="s">
        <v>219</v>
      </c>
      <c r="BT269" t="s">
        <v>220</v>
      </c>
      <c r="BU269" t="s">
        <v>206</v>
      </c>
      <c r="BX269" t="s">
        <v>221</v>
      </c>
      <c r="BY269" t="s">
        <v>221</v>
      </c>
      <c r="CA269" t="s">
        <v>1025</v>
      </c>
      <c r="CB269" t="s">
        <v>810</v>
      </c>
      <c r="CC269" t="s">
        <v>222</v>
      </c>
      <c r="CD269" t="s">
        <v>223</v>
      </c>
      <c r="CE269" t="s">
        <v>242</v>
      </c>
      <c r="CJ269" t="s">
        <v>206</v>
      </c>
      <c r="CK269" t="s">
        <v>230</v>
      </c>
      <c r="CL269" t="s">
        <v>231</v>
      </c>
      <c r="CM269" t="s">
        <v>232</v>
      </c>
      <c r="CN269" t="s">
        <v>233</v>
      </c>
      <c r="CP269" t="s">
        <v>212</v>
      </c>
      <c r="CQ269" t="s">
        <v>212</v>
      </c>
      <c r="CR269" t="s">
        <v>212</v>
      </c>
      <c r="CS269" t="s">
        <v>212</v>
      </c>
      <c r="CY269" t="s">
        <v>212</v>
      </c>
      <c r="DB269" t="s">
        <v>234</v>
      </c>
      <c r="DE269" t="s">
        <v>212</v>
      </c>
      <c r="DF269" t="s">
        <v>212</v>
      </c>
      <c r="DG269" t="s">
        <v>235</v>
      </c>
      <c r="DH269" t="s">
        <v>206</v>
      </c>
      <c r="DI269" t="s">
        <v>1026</v>
      </c>
      <c r="DJ269" t="s">
        <v>664</v>
      </c>
      <c r="DK269" t="s">
        <v>707</v>
      </c>
      <c r="DL269" t="s">
        <v>423</v>
      </c>
      <c r="DM269" t="s">
        <v>206</v>
      </c>
    </row>
    <row r="270" spans="1:184" x14ac:dyDescent="0.3">
      <c r="A270">
        <v>15455170</v>
      </c>
      <c r="B270">
        <v>280423</v>
      </c>
      <c r="C270" t="str">
        <f>"120818500094"</f>
        <v>120818500094</v>
      </c>
      <c r="D270" t="s">
        <v>632</v>
      </c>
      <c r="E270" t="s">
        <v>687</v>
      </c>
      <c r="F270" t="s">
        <v>1027</v>
      </c>
      <c r="G270" s="1">
        <v>41139</v>
      </c>
      <c r="I270" t="s">
        <v>240</v>
      </c>
      <c r="J270" t="s">
        <v>200</v>
      </c>
      <c r="K270" t="s">
        <v>201</v>
      </c>
      <c r="Q270" t="s">
        <v>212</v>
      </c>
      <c r="R270" t="str">
        <f>"КАЗАХСТАН, АКМОЛИНСКАЯ, СТЕПНОГОРСК, 18, 86"</f>
        <v>КАЗАХСТАН, АКМОЛИНСКАЯ, СТЕПНОГОРСК, 18, 86</v>
      </c>
      <c r="S270" t="str">
        <f>"ҚАЗАҚСТАН, АҚМОЛА, СТЕПНОГОР, 18, 86"</f>
        <v>ҚАЗАҚСТАН, АҚМОЛА, СТЕПНОГОР, 18, 86</v>
      </c>
      <c r="T270" t="str">
        <f>"18, 86"</f>
        <v>18, 86</v>
      </c>
      <c r="U270" t="str">
        <f>"18, 86"</f>
        <v>18, 86</v>
      </c>
      <c r="AC270" t="str">
        <f>"2020-06-10T00:00:00"</f>
        <v>2020-06-10T00:00:00</v>
      </c>
      <c r="AD270" t="str">
        <f>"91"</f>
        <v>91</v>
      </c>
      <c r="AG270" t="s">
        <v>202</v>
      </c>
      <c r="AI270" t="s">
        <v>299</v>
      </c>
      <c r="AJ270" t="s">
        <v>419</v>
      </c>
      <c r="AK270" t="s">
        <v>261</v>
      </c>
      <c r="AL270" t="s">
        <v>206</v>
      </c>
      <c r="AN270" t="s">
        <v>207</v>
      </c>
      <c r="AO270">
        <v>1</v>
      </c>
      <c r="AP270" t="s">
        <v>208</v>
      </c>
      <c r="AQ270" t="s">
        <v>209</v>
      </c>
      <c r="AR270" t="s">
        <v>210</v>
      </c>
      <c r="AW270" t="s">
        <v>206</v>
      </c>
      <c r="AX270" t="s">
        <v>211</v>
      </c>
      <c r="AZ270" t="s">
        <v>209</v>
      </c>
      <c r="BI270" t="s">
        <v>212</v>
      </c>
      <c r="BJ270" t="s">
        <v>213</v>
      </c>
      <c r="BK270" t="s">
        <v>214</v>
      </c>
      <c r="BL270" t="s">
        <v>215</v>
      </c>
      <c r="BN270" t="s">
        <v>216</v>
      </c>
      <c r="BO270" t="s">
        <v>209</v>
      </c>
      <c r="BP270" t="s">
        <v>241</v>
      </c>
      <c r="BQ270">
        <v>4</v>
      </c>
      <c r="BS270" t="s">
        <v>219</v>
      </c>
      <c r="BT270" t="s">
        <v>220</v>
      </c>
      <c r="BU270" t="s">
        <v>206</v>
      </c>
      <c r="BX270" t="s">
        <v>221</v>
      </c>
      <c r="BY270" t="s">
        <v>221</v>
      </c>
      <c r="CA270" t="s">
        <v>287</v>
      </c>
      <c r="CC270" t="s">
        <v>301</v>
      </c>
      <c r="CD270" t="s">
        <v>223</v>
      </c>
      <c r="CE270" t="s">
        <v>242</v>
      </c>
      <c r="CJ270" t="s">
        <v>206</v>
      </c>
      <c r="CK270" t="s">
        <v>230</v>
      </c>
      <c r="CL270" t="s">
        <v>231</v>
      </c>
      <c r="CM270" t="s">
        <v>232</v>
      </c>
      <c r="CN270" t="s">
        <v>233</v>
      </c>
      <c r="CP270" t="s">
        <v>212</v>
      </c>
      <c r="CQ270" t="s">
        <v>212</v>
      </c>
      <c r="CR270" t="s">
        <v>212</v>
      </c>
      <c r="CS270" t="s">
        <v>212</v>
      </c>
      <c r="CY270" t="s">
        <v>212</v>
      </c>
      <c r="DB270" t="s">
        <v>234</v>
      </c>
      <c r="DE270" t="s">
        <v>212</v>
      </c>
      <c r="DF270" t="s">
        <v>212</v>
      </c>
      <c r="DG270" t="s">
        <v>235</v>
      </c>
      <c r="DH270" t="s">
        <v>212</v>
      </c>
      <c r="DJ270" t="s">
        <v>236</v>
      </c>
      <c r="DM270" t="s">
        <v>212</v>
      </c>
    </row>
    <row r="271" spans="1:184" x14ac:dyDescent="0.3">
      <c r="A271">
        <v>24480617</v>
      </c>
      <c r="B271">
        <v>2950119</v>
      </c>
      <c r="C271" t="str">
        <f>"090123600163"</f>
        <v>090123600163</v>
      </c>
      <c r="D271" t="s">
        <v>1028</v>
      </c>
      <c r="E271" t="s">
        <v>1029</v>
      </c>
      <c r="F271" t="s">
        <v>1030</v>
      </c>
      <c r="G271" s="1">
        <v>39836</v>
      </c>
      <c r="I271" t="s">
        <v>199</v>
      </c>
      <c r="J271" t="s">
        <v>200</v>
      </c>
      <c r="K271" t="s">
        <v>201</v>
      </c>
      <c r="R271" t="str">
        <f>"АНДОРРА, ЖАМБЫЛСКАЯ, ЖАМБЫЛСКИЙ РАЙОН, Акбулымский, Акбулым, 13"</f>
        <v>АНДОРРА, ЖАМБЫЛСКАЯ, ЖАМБЫЛСКИЙ РАЙОН, Акбулымский, Акбулым, 13</v>
      </c>
      <c r="S271" t="str">
        <f>"АНДОРРА, ЖАМБЫЛ, ЖАМБЫЛ АУДАНЫ, Акбулымский, Акбулым, 13"</f>
        <v>АНДОРРА, ЖАМБЫЛ, ЖАМБЫЛ АУДАНЫ, Акбулымский, Акбулым, 13</v>
      </c>
      <c r="T271" t="str">
        <f>"Акбулымский, Акбулым, 13"</f>
        <v>Акбулымский, Акбулым, 13</v>
      </c>
      <c r="U271" t="str">
        <f>"Акбулымский, Акбулым, 13"</f>
        <v>Акбулымский, Акбулым, 13</v>
      </c>
      <c r="AC271" t="str">
        <f>"2023-01-16T00:00:00"</f>
        <v>2023-01-16T00:00:00</v>
      </c>
      <c r="AD271" t="str">
        <f>"8/1"</f>
        <v>8/1</v>
      </c>
      <c r="AG271" t="s">
        <v>202</v>
      </c>
      <c r="AH271" t="str">
        <f>"sdfs/@mail.ru"</f>
        <v>sdfs/@mail.ru</v>
      </c>
      <c r="AI271" t="s">
        <v>269</v>
      </c>
      <c r="AJ271" t="s">
        <v>204</v>
      </c>
      <c r="AK271" t="s">
        <v>253</v>
      </c>
      <c r="AL271" t="s">
        <v>206</v>
      </c>
      <c r="AN271" t="s">
        <v>254</v>
      </c>
      <c r="AO271">
        <v>1</v>
      </c>
      <c r="AP271" t="s">
        <v>208</v>
      </c>
      <c r="AQ271" t="s">
        <v>209</v>
      </c>
      <c r="AR271" t="s">
        <v>210</v>
      </c>
      <c r="AW271" t="s">
        <v>206</v>
      </c>
      <c r="AX271" t="s">
        <v>211</v>
      </c>
      <c r="AZ271" t="s">
        <v>209</v>
      </c>
      <c r="BI271" t="s">
        <v>212</v>
      </c>
      <c r="BJ271" t="s">
        <v>213</v>
      </c>
      <c r="BK271" t="s">
        <v>214</v>
      </c>
      <c r="BL271" t="s">
        <v>215</v>
      </c>
      <c r="BN271" t="s">
        <v>247</v>
      </c>
      <c r="BO271" t="s">
        <v>209</v>
      </c>
      <c r="BP271" t="s">
        <v>241</v>
      </c>
      <c r="BQ271">
        <v>3</v>
      </c>
      <c r="BS271" t="s">
        <v>219</v>
      </c>
      <c r="BT271" t="s">
        <v>220</v>
      </c>
      <c r="BU271" t="s">
        <v>206</v>
      </c>
      <c r="CA271" t="s">
        <v>287</v>
      </c>
      <c r="CC271" t="s">
        <v>209</v>
      </c>
      <c r="CE271" t="s">
        <v>242</v>
      </c>
      <c r="CJ271" t="s">
        <v>206</v>
      </c>
      <c r="CK271" t="s">
        <v>230</v>
      </c>
      <c r="CL271" t="s">
        <v>231</v>
      </c>
      <c r="CM271" t="s">
        <v>232</v>
      </c>
      <c r="CN271" t="s">
        <v>233</v>
      </c>
      <c r="CP271" t="s">
        <v>212</v>
      </c>
      <c r="CQ271" t="s">
        <v>212</v>
      </c>
      <c r="CR271" t="s">
        <v>212</v>
      </c>
      <c r="CS271" t="s">
        <v>212</v>
      </c>
      <c r="CY271" t="s">
        <v>212</v>
      </c>
      <c r="DB271" t="s">
        <v>234</v>
      </c>
      <c r="DE271" t="s">
        <v>212</v>
      </c>
      <c r="DF271" t="s">
        <v>212</v>
      </c>
      <c r="DG271" t="s">
        <v>235</v>
      </c>
      <c r="DH271" t="s">
        <v>212</v>
      </c>
      <c r="DJ271" t="s">
        <v>236</v>
      </c>
      <c r="DM271" t="s">
        <v>212</v>
      </c>
    </row>
    <row r="272" spans="1:184" x14ac:dyDescent="0.3">
      <c r="A272">
        <v>15357559</v>
      </c>
      <c r="B272">
        <v>9653531</v>
      </c>
      <c r="C272" t="str">
        <f>"110705605888"</f>
        <v>110705605888</v>
      </c>
      <c r="D272" t="s">
        <v>1031</v>
      </c>
      <c r="E272" t="s">
        <v>996</v>
      </c>
      <c r="F272" t="s">
        <v>1032</v>
      </c>
      <c r="G272" s="1">
        <v>40729</v>
      </c>
      <c r="I272" t="s">
        <v>199</v>
      </c>
      <c r="J272" t="s">
        <v>200</v>
      </c>
      <c r="K272" t="s">
        <v>201</v>
      </c>
      <c r="R272" t="str">
        <f>"КАЗАХСТАН, АКМОЛИНСКАЯ, СТЕПНОГОРСК, Бестобе, 2"</f>
        <v>КАЗАХСТАН, АКМОЛИНСКАЯ, СТЕПНОГОРСК, Бестобе, 2</v>
      </c>
      <c r="S272" t="str">
        <f>"ҚАЗАҚСТАН, АҚМОЛА, СТЕПНОГОР, Бестобе, 2"</f>
        <v>ҚАЗАҚСТАН, АҚМОЛА, СТЕПНОГОР, Бестобе, 2</v>
      </c>
      <c r="T272" t="str">
        <f>"Бестобе, 2"</f>
        <v>Бестобе, 2</v>
      </c>
      <c r="U272" t="str">
        <f>"Бестобе, 2"</f>
        <v>Бестобе, 2</v>
      </c>
      <c r="AC272" t="str">
        <f>"2019-10-07T12:43:00"</f>
        <v>2019-10-07T12:43:00</v>
      </c>
      <c r="AD272" t="str">
        <f>"22"</f>
        <v>22</v>
      </c>
      <c r="AG272" t="s">
        <v>202</v>
      </c>
      <c r="AI272" t="s">
        <v>269</v>
      </c>
      <c r="AJ272" t="s">
        <v>348</v>
      </c>
      <c r="AK272" t="s">
        <v>253</v>
      </c>
      <c r="AL272" t="s">
        <v>206</v>
      </c>
      <c r="AN272" t="s">
        <v>254</v>
      </c>
      <c r="AO272">
        <v>1</v>
      </c>
      <c r="AP272" t="s">
        <v>208</v>
      </c>
      <c r="AQ272" t="s">
        <v>209</v>
      </c>
      <c r="AR272" t="s">
        <v>210</v>
      </c>
      <c r="AW272" t="s">
        <v>206</v>
      </c>
      <c r="AX272" t="s">
        <v>211</v>
      </c>
      <c r="AZ272" t="s">
        <v>209</v>
      </c>
      <c r="BI272" t="s">
        <v>212</v>
      </c>
      <c r="BJ272" t="s">
        <v>213</v>
      </c>
      <c r="BK272" t="s">
        <v>214</v>
      </c>
      <c r="BL272" t="s">
        <v>215</v>
      </c>
      <c r="BN272" t="s">
        <v>247</v>
      </c>
      <c r="BO272" t="s">
        <v>209</v>
      </c>
      <c r="BP272" t="s">
        <v>241</v>
      </c>
      <c r="BQ272">
        <v>3</v>
      </c>
      <c r="BS272" t="s">
        <v>219</v>
      </c>
      <c r="BT272" t="s">
        <v>220</v>
      </c>
      <c r="BU272" t="s">
        <v>206</v>
      </c>
      <c r="BX272" t="s">
        <v>221</v>
      </c>
      <c r="BY272" t="s">
        <v>221</v>
      </c>
      <c r="CA272" t="s">
        <v>222</v>
      </c>
      <c r="CB272" t="s">
        <v>223</v>
      </c>
      <c r="CC272" t="s">
        <v>222</v>
      </c>
      <c r="CD272" t="s">
        <v>223</v>
      </c>
      <c r="CE272" t="s">
        <v>242</v>
      </c>
      <c r="CJ272" t="s">
        <v>206</v>
      </c>
      <c r="CK272" t="s">
        <v>230</v>
      </c>
      <c r="CL272" t="s">
        <v>231</v>
      </c>
      <c r="CM272" t="s">
        <v>232</v>
      </c>
      <c r="CN272" t="s">
        <v>233</v>
      </c>
      <c r="CP272" t="s">
        <v>212</v>
      </c>
      <c r="CQ272" t="s">
        <v>212</v>
      </c>
      <c r="CR272" t="s">
        <v>212</v>
      </c>
      <c r="CS272" t="s">
        <v>212</v>
      </c>
      <c r="CY272" t="s">
        <v>212</v>
      </c>
      <c r="DB272" t="s">
        <v>234</v>
      </c>
      <c r="DE272" t="s">
        <v>212</v>
      </c>
      <c r="DF272" t="s">
        <v>212</v>
      </c>
      <c r="DG272" t="s">
        <v>235</v>
      </c>
      <c r="DH272" t="s">
        <v>212</v>
      </c>
      <c r="DJ272" t="s">
        <v>236</v>
      </c>
      <c r="DM272" t="s">
        <v>212</v>
      </c>
    </row>
    <row r="273" spans="1:184" x14ac:dyDescent="0.3">
      <c r="A273">
        <v>15357522</v>
      </c>
      <c r="B273">
        <v>850833</v>
      </c>
      <c r="C273" t="str">
        <f>"140301600579"</f>
        <v>140301600579</v>
      </c>
      <c r="D273" t="s">
        <v>1033</v>
      </c>
      <c r="E273" t="s">
        <v>1034</v>
      </c>
      <c r="F273" t="s">
        <v>1035</v>
      </c>
      <c r="G273" s="1">
        <v>41699</v>
      </c>
      <c r="I273" t="s">
        <v>199</v>
      </c>
      <c r="J273" t="s">
        <v>200</v>
      </c>
      <c r="K273" t="s">
        <v>201</v>
      </c>
      <c r="Q273" t="s">
        <v>212</v>
      </c>
      <c r="R273" t="str">
        <f>"КАЗАХСТАН, АКМОЛИНСКАЯ, СТЕПНОГОРСК, 34, 3"</f>
        <v>КАЗАХСТАН, АКМОЛИНСКАЯ, СТЕПНОГОРСК, 34, 3</v>
      </c>
      <c r="S273" t="str">
        <f>"ҚАЗАҚСТАН, АҚМОЛА, СТЕПНОГОР, 34, 3"</f>
        <v>ҚАЗАҚСТАН, АҚМОЛА, СТЕПНОГОР, 34, 3</v>
      </c>
      <c r="T273" t="str">
        <f>"34, 3"</f>
        <v>34, 3</v>
      </c>
      <c r="U273" t="str">
        <f>"34, 3"</f>
        <v>34, 3</v>
      </c>
      <c r="AC273" t="str">
        <f>"2019-11-08T12:38:00"</f>
        <v>2019-11-08T12:38:00</v>
      </c>
      <c r="AD273" t="str">
        <f>"40"</f>
        <v>40</v>
      </c>
      <c r="AG273" t="s">
        <v>333</v>
      </c>
      <c r="AI273" t="s">
        <v>269</v>
      </c>
      <c r="AJ273" t="s">
        <v>501</v>
      </c>
      <c r="AK273" t="s">
        <v>205</v>
      </c>
      <c r="AL273" t="s">
        <v>206</v>
      </c>
      <c r="AN273" t="s">
        <v>207</v>
      </c>
      <c r="AO273">
        <v>1</v>
      </c>
      <c r="AP273" t="s">
        <v>208</v>
      </c>
      <c r="AQ273" t="s">
        <v>209</v>
      </c>
      <c r="AR273" t="s">
        <v>502</v>
      </c>
      <c r="AW273" t="s">
        <v>212</v>
      </c>
      <c r="AZ273" t="s">
        <v>209</v>
      </c>
      <c r="BI273" t="s">
        <v>212</v>
      </c>
      <c r="BJ273" t="s">
        <v>213</v>
      </c>
      <c r="BK273" t="s">
        <v>214</v>
      </c>
      <c r="BL273" t="s">
        <v>357</v>
      </c>
      <c r="BN273" t="s">
        <v>216</v>
      </c>
      <c r="BO273" t="s">
        <v>209</v>
      </c>
      <c r="BP273" t="s">
        <v>241</v>
      </c>
      <c r="BQ273">
        <v>4</v>
      </c>
      <c r="BS273" t="s">
        <v>219</v>
      </c>
      <c r="BT273" t="s">
        <v>220</v>
      </c>
      <c r="BU273" t="s">
        <v>206</v>
      </c>
      <c r="BX273" t="s">
        <v>221</v>
      </c>
      <c r="BY273" t="s">
        <v>221</v>
      </c>
      <c r="BZ273" t="s">
        <v>503</v>
      </c>
      <c r="CA273" t="s">
        <v>287</v>
      </c>
      <c r="CC273" t="s">
        <v>222</v>
      </c>
      <c r="CD273" t="s">
        <v>223</v>
      </c>
      <c r="CE273" t="s">
        <v>242</v>
      </c>
      <c r="CJ273" t="s">
        <v>206</v>
      </c>
      <c r="CK273" t="s">
        <v>230</v>
      </c>
      <c r="CL273" t="s">
        <v>231</v>
      </c>
      <c r="CM273" t="s">
        <v>232</v>
      </c>
      <c r="CN273" t="s">
        <v>233</v>
      </c>
      <c r="CP273" t="s">
        <v>212</v>
      </c>
      <c r="CQ273" t="s">
        <v>212</v>
      </c>
      <c r="CR273" t="s">
        <v>212</v>
      </c>
      <c r="CS273" t="s">
        <v>212</v>
      </c>
      <c r="CY273" t="s">
        <v>212</v>
      </c>
      <c r="DB273" t="s">
        <v>234</v>
      </c>
      <c r="DE273" t="s">
        <v>212</v>
      </c>
      <c r="DF273" t="s">
        <v>212</v>
      </c>
      <c r="DG273" t="s">
        <v>235</v>
      </c>
      <c r="DH273" t="s">
        <v>212</v>
      </c>
      <c r="DJ273" t="s">
        <v>236</v>
      </c>
      <c r="DM273" t="s">
        <v>212</v>
      </c>
    </row>
    <row r="274" spans="1:184" x14ac:dyDescent="0.3">
      <c r="A274">
        <v>24514554</v>
      </c>
      <c r="B274">
        <v>8927506</v>
      </c>
      <c r="C274" t="str">
        <f>"151001505745"</f>
        <v>151001505745</v>
      </c>
      <c r="D274" t="s">
        <v>1036</v>
      </c>
      <c r="E274" t="s">
        <v>1037</v>
      </c>
      <c r="F274" t="s">
        <v>1038</v>
      </c>
      <c r="G274" s="1">
        <v>42278</v>
      </c>
      <c r="I274" t="s">
        <v>240</v>
      </c>
      <c r="J274" t="s">
        <v>200</v>
      </c>
      <c r="K274" t="s">
        <v>201</v>
      </c>
      <c r="R274" t="str">
        <f>"КАЗАХСТАН, АКМОЛИНСКАЯ, СТЕПНОГОРСК, 49, 28"</f>
        <v>КАЗАХСТАН, АКМОЛИНСКАЯ, СТЕПНОГОРСК, 49, 28</v>
      </c>
      <c r="S274" t="str">
        <f>"ҚАЗАҚСТАН, АҚМОЛА, СТЕПНОГОР, 49, 28"</f>
        <v>ҚАЗАҚСТАН, АҚМОЛА, СТЕПНОГОР, 49, 28</v>
      </c>
      <c r="T274" t="str">
        <f>"49, 28"</f>
        <v>49, 28</v>
      </c>
      <c r="U274" t="str">
        <f>"49, 28"</f>
        <v>49, 28</v>
      </c>
      <c r="AC274" t="str">
        <f>"2023-01-24T00:00:00"</f>
        <v>2023-01-24T00:00:00</v>
      </c>
      <c r="AD274" t="str">
        <f>"11"</f>
        <v>11</v>
      </c>
      <c r="AG274" t="s">
        <v>202</v>
      </c>
      <c r="AI274" t="s">
        <v>274</v>
      </c>
      <c r="AJ274" t="s">
        <v>540</v>
      </c>
      <c r="AK274" t="s">
        <v>253</v>
      </c>
      <c r="AL274" t="s">
        <v>206</v>
      </c>
      <c r="AN274" t="s">
        <v>254</v>
      </c>
      <c r="AO274">
        <v>2</v>
      </c>
      <c r="AP274" t="s">
        <v>208</v>
      </c>
      <c r="AQ274" t="s">
        <v>209</v>
      </c>
      <c r="AR274" t="s">
        <v>210</v>
      </c>
      <c r="AW274" t="s">
        <v>212</v>
      </c>
      <c r="AZ274" t="s">
        <v>209</v>
      </c>
      <c r="BI274" t="s">
        <v>212</v>
      </c>
      <c r="BJ274" t="s">
        <v>213</v>
      </c>
      <c r="BK274" t="s">
        <v>214</v>
      </c>
      <c r="BL274" t="s">
        <v>357</v>
      </c>
      <c r="BN274" t="s">
        <v>247</v>
      </c>
      <c r="BO274" t="s">
        <v>209</v>
      </c>
      <c r="BP274" t="s">
        <v>241</v>
      </c>
      <c r="BQ274">
        <v>3</v>
      </c>
      <c r="BS274" t="s">
        <v>219</v>
      </c>
      <c r="BT274" t="s">
        <v>220</v>
      </c>
      <c r="BU274" t="s">
        <v>206</v>
      </c>
      <c r="BZ274" t="s">
        <v>541</v>
      </c>
      <c r="CA274" t="s">
        <v>287</v>
      </c>
      <c r="CC274" t="s">
        <v>209</v>
      </c>
      <c r="CE274" t="s">
        <v>242</v>
      </c>
      <c r="CJ274" t="s">
        <v>206</v>
      </c>
      <c r="CK274" t="s">
        <v>230</v>
      </c>
      <c r="CL274" t="s">
        <v>231</v>
      </c>
      <c r="CM274" t="s">
        <v>232</v>
      </c>
      <c r="CN274" t="s">
        <v>233</v>
      </c>
      <c r="CP274" t="s">
        <v>212</v>
      </c>
      <c r="CQ274" t="s">
        <v>212</v>
      </c>
      <c r="CR274" t="s">
        <v>212</v>
      </c>
      <c r="CS274" t="s">
        <v>212</v>
      </c>
      <c r="CY274" t="s">
        <v>212</v>
      </c>
      <c r="DB274" t="s">
        <v>234</v>
      </c>
      <c r="DE274" t="s">
        <v>212</v>
      </c>
      <c r="DF274" t="s">
        <v>212</v>
      </c>
      <c r="DG274" t="s">
        <v>235</v>
      </c>
      <c r="DH274" t="s">
        <v>212</v>
      </c>
      <c r="DJ274" t="s">
        <v>236</v>
      </c>
      <c r="DM274" t="s">
        <v>206</v>
      </c>
    </row>
    <row r="275" spans="1:184" x14ac:dyDescent="0.3">
      <c r="A275">
        <v>24549994</v>
      </c>
      <c r="B275">
        <v>921831</v>
      </c>
      <c r="C275" t="str">
        <f>"160522602481"</f>
        <v>160522602481</v>
      </c>
      <c r="D275" t="s">
        <v>1039</v>
      </c>
      <c r="E275" t="s">
        <v>1040</v>
      </c>
      <c r="F275" t="s">
        <v>1041</v>
      </c>
      <c r="G275" s="1">
        <v>42512</v>
      </c>
      <c r="I275" t="s">
        <v>199</v>
      </c>
      <c r="J275" t="s">
        <v>200</v>
      </c>
      <c r="K275" t="s">
        <v>201</v>
      </c>
      <c r="Q275" t="s">
        <v>212</v>
      </c>
      <c r="R275" t="str">
        <f>"КАЗАХСТАН, АКМОЛИНСКАЯ, СТЕПНОГОРСК, 41, 103"</f>
        <v>КАЗАХСТАН, АКМОЛИНСКАЯ, СТЕПНОГОРСК, 41, 103</v>
      </c>
      <c r="S275" t="str">
        <f>"ҚАЗАҚСТАН, АҚМОЛА, СТЕПНОГОР, 41, 103"</f>
        <v>ҚАЗАҚСТАН, АҚМОЛА, СТЕПНОГОР, 41, 103</v>
      </c>
      <c r="T275" t="str">
        <f>"41, 103"</f>
        <v>41, 103</v>
      </c>
      <c r="U275" t="str">
        <f>"41, 103"</f>
        <v>41, 103</v>
      </c>
      <c r="AC275" t="str">
        <f>"2023-01-17T00:00:00"</f>
        <v>2023-01-17T00:00:00</v>
      </c>
      <c r="AD275" t="str">
        <f>"9"</f>
        <v>9</v>
      </c>
      <c r="AE275" t="str">
        <f>"2023-09-01T22:48:18"</f>
        <v>2023-09-01T22:48:18</v>
      </c>
      <c r="AF275" t="str">
        <f>"2024-05-25T22:48:18"</f>
        <v>2024-05-25T22:48:18</v>
      </c>
      <c r="AG275" t="s">
        <v>646</v>
      </c>
      <c r="AI275" t="s">
        <v>274</v>
      </c>
      <c r="AJ275" t="s">
        <v>570</v>
      </c>
      <c r="AK275" t="s">
        <v>434</v>
      </c>
      <c r="AL275" t="s">
        <v>206</v>
      </c>
      <c r="AN275" t="s">
        <v>254</v>
      </c>
      <c r="AO275">
        <v>2</v>
      </c>
      <c r="AP275" t="s">
        <v>208</v>
      </c>
      <c r="AQ275" t="s">
        <v>209</v>
      </c>
      <c r="AR275" t="s">
        <v>502</v>
      </c>
      <c r="AW275" t="s">
        <v>212</v>
      </c>
      <c r="AZ275" t="s">
        <v>209</v>
      </c>
      <c r="BI275" t="s">
        <v>212</v>
      </c>
      <c r="BJ275" t="s">
        <v>213</v>
      </c>
      <c r="BK275" t="s">
        <v>214</v>
      </c>
      <c r="BL275" t="s">
        <v>357</v>
      </c>
      <c r="BN275" t="s">
        <v>247</v>
      </c>
      <c r="BO275" t="s">
        <v>209</v>
      </c>
      <c r="BP275" t="s">
        <v>241</v>
      </c>
      <c r="BQ275">
        <v>3</v>
      </c>
      <c r="BS275" t="s">
        <v>220</v>
      </c>
      <c r="BU275" t="s">
        <v>212</v>
      </c>
      <c r="BZ275" t="s">
        <v>571</v>
      </c>
      <c r="CA275" t="s">
        <v>287</v>
      </c>
      <c r="CC275" t="s">
        <v>209</v>
      </c>
      <c r="CE275" t="s">
        <v>242</v>
      </c>
      <c r="CJ275" t="s">
        <v>206</v>
      </c>
      <c r="CK275" t="s">
        <v>230</v>
      </c>
      <c r="CL275" t="s">
        <v>231</v>
      </c>
      <c r="CM275" t="s">
        <v>232</v>
      </c>
      <c r="CN275" t="s">
        <v>233</v>
      </c>
      <c r="CP275" t="s">
        <v>212</v>
      </c>
      <c r="CQ275" t="s">
        <v>212</v>
      </c>
      <c r="CR275" t="s">
        <v>212</v>
      </c>
      <c r="CS275" t="s">
        <v>212</v>
      </c>
      <c r="CY275" t="s">
        <v>212</v>
      </c>
      <c r="DB275" t="s">
        <v>234</v>
      </c>
      <c r="DE275" t="s">
        <v>212</v>
      </c>
      <c r="DF275" t="s">
        <v>212</v>
      </c>
      <c r="DG275" t="s">
        <v>235</v>
      </c>
      <c r="DH275" t="s">
        <v>212</v>
      </c>
      <c r="DJ275" t="s">
        <v>236</v>
      </c>
      <c r="DM275" t="s">
        <v>212</v>
      </c>
    </row>
    <row r="276" spans="1:184" x14ac:dyDescent="0.3">
      <c r="A276">
        <v>24628132</v>
      </c>
      <c r="B276">
        <v>9607937</v>
      </c>
      <c r="C276" t="str">
        <f>"151004505286"</f>
        <v>151004505286</v>
      </c>
      <c r="D276" t="s">
        <v>1042</v>
      </c>
      <c r="E276" t="s">
        <v>620</v>
      </c>
      <c r="F276" t="s">
        <v>321</v>
      </c>
      <c r="G276" s="1">
        <v>42281</v>
      </c>
      <c r="I276" t="s">
        <v>240</v>
      </c>
      <c r="J276" t="s">
        <v>200</v>
      </c>
      <c r="K276" t="s">
        <v>260</v>
      </c>
      <c r="Q276" t="s">
        <v>212</v>
      </c>
      <c r="R276" t="str">
        <f>"КАЗАХСТАН, АКМОЛИНСКАЯ, СТЕПНОГОРСК, Бестобе, 31, 1"</f>
        <v>КАЗАХСТАН, АКМОЛИНСКАЯ, СТЕПНОГОРСК, Бестобе, 31, 1</v>
      </c>
      <c r="S276" t="str">
        <f>"ҚАЗАҚСТАН, АҚМОЛА, СТЕПНОГОР, Бестобе, 31, 1"</f>
        <v>ҚАЗАҚСТАН, АҚМОЛА, СТЕПНОГОР, Бестобе, 31, 1</v>
      </c>
      <c r="T276" t="str">
        <f>"Бестобе, 31, 1"</f>
        <v>Бестобе, 31, 1</v>
      </c>
      <c r="U276" t="str">
        <f>"Бестобе, 31, 1"</f>
        <v>Бестобе, 31, 1</v>
      </c>
      <c r="AC276" t="str">
        <f>"2023-08-25T00:00:00"</f>
        <v>2023-08-25T00:00:00</v>
      </c>
      <c r="AD276" t="str">
        <f>"201"</f>
        <v>201</v>
      </c>
      <c r="AE276" t="str">
        <f>"2023-09-01T17:02:46"</f>
        <v>2023-09-01T17:02:46</v>
      </c>
      <c r="AF276" t="str">
        <f>"2024-05-25T17:02:46"</f>
        <v>2024-05-25T17:02:46</v>
      </c>
      <c r="AG276" t="s">
        <v>202</v>
      </c>
      <c r="AI276" t="s">
        <v>269</v>
      </c>
      <c r="AJ276" t="s">
        <v>660</v>
      </c>
      <c r="AK276" t="s">
        <v>261</v>
      </c>
      <c r="AL276" t="s">
        <v>206</v>
      </c>
      <c r="AN276" t="s">
        <v>207</v>
      </c>
      <c r="AO276">
        <v>1</v>
      </c>
      <c r="AP276" t="s">
        <v>208</v>
      </c>
      <c r="AQ276" t="s">
        <v>209</v>
      </c>
      <c r="AR276" t="s">
        <v>502</v>
      </c>
      <c r="AW276" t="s">
        <v>212</v>
      </c>
      <c r="AZ276" t="s">
        <v>209</v>
      </c>
      <c r="BI276" t="s">
        <v>212</v>
      </c>
      <c r="BJ276" t="s">
        <v>213</v>
      </c>
      <c r="BK276" t="s">
        <v>214</v>
      </c>
      <c r="BL276" t="s">
        <v>357</v>
      </c>
      <c r="BN276" t="s">
        <v>661</v>
      </c>
      <c r="BO276" t="s">
        <v>209</v>
      </c>
      <c r="BS276" t="s">
        <v>220</v>
      </c>
      <c r="BU276" t="s">
        <v>212</v>
      </c>
      <c r="BZ276" t="s">
        <v>662</v>
      </c>
      <c r="CA276" t="s">
        <v>287</v>
      </c>
      <c r="CC276" t="s">
        <v>353</v>
      </c>
      <c r="CD276" t="s">
        <v>223</v>
      </c>
      <c r="CE276" t="s">
        <v>242</v>
      </c>
      <c r="CJ276" t="s">
        <v>206</v>
      </c>
      <c r="CK276" t="s">
        <v>230</v>
      </c>
      <c r="CL276" t="s">
        <v>231</v>
      </c>
      <c r="CM276" t="s">
        <v>232</v>
      </c>
      <c r="CN276" t="s">
        <v>233</v>
      </c>
      <c r="CP276" t="s">
        <v>212</v>
      </c>
      <c r="CQ276" t="s">
        <v>206</v>
      </c>
      <c r="CR276" t="s">
        <v>212</v>
      </c>
      <c r="CS276" t="s">
        <v>212</v>
      </c>
      <c r="CY276" t="s">
        <v>212</v>
      </c>
      <c r="DB276" t="s">
        <v>653</v>
      </c>
      <c r="DC276" t="str">
        <f>"№348 Трудности формирование  чтения  и письма. Общее недоразвитие речи  3 уровня"</f>
        <v>№348 Трудности формирование  чтения  и письма. Общее недоразвитие речи  3 уровня</v>
      </c>
      <c r="DD276" t="str">
        <f>"2023-04-25T00:00:00"</f>
        <v>2023-04-25T00:00:00</v>
      </c>
      <c r="DE276" t="s">
        <v>212</v>
      </c>
      <c r="DF276" t="s">
        <v>206</v>
      </c>
      <c r="DG276" t="s">
        <v>235</v>
      </c>
      <c r="DH276" t="s">
        <v>212</v>
      </c>
      <c r="DJ276" t="s">
        <v>421</v>
      </c>
      <c r="DK276" t="s">
        <v>422</v>
      </c>
      <c r="DL276" t="s">
        <v>423</v>
      </c>
      <c r="DM276" t="s">
        <v>212</v>
      </c>
    </row>
    <row r="277" spans="1:184" x14ac:dyDescent="0.3">
      <c r="A277">
        <v>15353534</v>
      </c>
      <c r="B277">
        <v>165986</v>
      </c>
      <c r="C277" t="str">
        <f>"121109501328"</f>
        <v>121109501328</v>
      </c>
      <c r="D277" t="s">
        <v>1043</v>
      </c>
      <c r="E277" t="s">
        <v>1044</v>
      </c>
      <c r="F277" t="s">
        <v>1045</v>
      </c>
      <c r="G277" s="1">
        <v>41222</v>
      </c>
      <c r="I277" t="s">
        <v>240</v>
      </c>
      <c r="J277" t="s">
        <v>200</v>
      </c>
      <c r="K277" t="s">
        <v>1046</v>
      </c>
      <c r="Q277" t="s">
        <v>212</v>
      </c>
      <c r="R277" t="str">
        <f>"КАЗАХСТАН, АКМОЛИНСКАЯ, СТЕПНОГОРСК, 13, 7"</f>
        <v>КАЗАХСТАН, АКМОЛИНСКАЯ, СТЕПНОГОРСК, 13, 7</v>
      </c>
      <c r="S277" t="str">
        <f>"ҚАЗАҚСТАН, АҚМОЛА, СТЕПНОГОР, 13, 7"</f>
        <v>ҚАЗАҚСТАН, АҚМОЛА, СТЕПНОГОР, 13, 7</v>
      </c>
      <c r="T277" t="str">
        <f>"13, 7"</f>
        <v>13, 7</v>
      </c>
      <c r="U277" t="str">
        <f>"13, 7"</f>
        <v>13, 7</v>
      </c>
      <c r="AC277" t="str">
        <f>"2020-03-17T00:00:00"</f>
        <v>2020-03-17T00:00:00</v>
      </c>
      <c r="AD277" t="str">
        <f>"89"</f>
        <v>89</v>
      </c>
      <c r="AG277" t="s">
        <v>202</v>
      </c>
      <c r="AI277" t="s">
        <v>269</v>
      </c>
      <c r="AJ277" t="s">
        <v>419</v>
      </c>
      <c r="AK277" t="s">
        <v>261</v>
      </c>
      <c r="AL277" t="s">
        <v>206</v>
      </c>
      <c r="AN277" t="s">
        <v>207</v>
      </c>
      <c r="AO277">
        <v>1</v>
      </c>
      <c r="AP277" t="s">
        <v>208</v>
      </c>
      <c r="AQ277" t="s">
        <v>209</v>
      </c>
      <c r="AR277" t="s">
        <v>210</v>
      </c>
      <c r="AW277" t="s">
        <v>206</v>
      </c>
      <c r="AX277" t="s">
        <v>211</v>
      </c>
      <c r="AZ277" t="s">
        <v>209</v>
      </c>
      <c r="BI277" t="s">
        <v>212</v>
      </c>
      <c r="BJ277" t="s">
        <v>213</v>
      </c>
      <c r="BK277" t="s">
        <v>214</v>
      </c>
      <c r="BL277" t="s">
        <v>215</v>
      </c>
      <c r="BN277" t="s">
        <v>247</v>
      </c>
      <c r="BO277" t="s">
        <v>209</v>
      </c>
      <c r="BP277" t="s">
        <v>415</v>
      </c>
      <c r="BQ277" t="s">
        <v>416</v>
      </c>
      <c r="BS277" t="s">
        <v>219</v>
      </c>
      <c r="BT277" t="s">
        <v>220</v>
      </c>
      <c r="BU277" t="s">
        <v>206</v>
      </c>
      <c r="BX277" t="s">
        <v>234</v>
      </c>
      <c r="BY277" t="s">
        <v>234</v>
      </c>
      <c r="CA277" t="s">
        <v>287</v>
      </c>
      <c r="CC277" t="s">
        <v>222</v>
      </c>
      <c r="CD277" t="s">
        <v>223</v>
      </c>
      <c r="CE277" t="s">
        <v>242</v>
      </c>
      <c r="CJ277" t="s">
        <v>206</v>
      </c>
      <c r="CK277" t="s">
        <v>230</v>
      </c>
      <c r="CL277" t="s">
        <v>231</v>
      </c>
      <c r="CM277" t="s">
        <v>232</v>
      </c>
      <c r="CN277" t="s">
        <v>233</v>
      </c>
      <c r="CP277" t="s">
        <v>212</v>
      </c>
      <c r="CQ277" t="s">
        <v>212</v>
      </c>
      <c r="CR277" t="s">
        <v>212</v>
      </c>
      <c r="CS277" t="s">
        <v>212</v>
      </c>
      <c r="CY277" t="s">
        <v>212</v>
      </c>
      <c r="DB277" t="s">
        <v>234</v>
      </c>
      <c r="DE277" t="s">
        <v>212</v>
      </c>
      <c r="DF277" t="s">
        <v>212</v>
      </c>
      <c r="DG277" t="s">
        <v>235</v>
      </c>
      <c r="DH277" t="s">
        <v>212</v>
      </c>
      <c r="DJ277" t="s">
        <v>236</v>
      </c>
      <c r="DM277" t="s">
        <v>212</v>
      </c>
    </row>
    <row r="278" spans="1:184" x14ac:dyDescent="0.3">
      <c r="A278">
        <v>15326912</v>
      </c>
      <c r="B278">
        <v>763393</v>
      </c>
      <c r="C278" t="str">
        <f>"130326602282"</f>
        <v>130326602282</v>
      </c>
      <c r="D278" t="s">
        <v>1047</v>
      </c>
      <c r="E278" t="s">
        <v>1048</v>
      </c>
      <c r="F278" t="s">
        <v>1049</v>
      </c>
      <c r="G278" s="1">
        <v>41359</v>
      </c>
      <c r="I278" t="s">
        <v>199</v>
      </c>
      <c r="J278" t="s">
        <v>200</v>
      </c>
      <c r="K278" t="s">
        <v>369</v>
      </c>
      <c r="Q278" t="s">
        <v>212</v>
      </c>
      <c r="R278" t="str">
        <f>"КАЗАХСТАН, АКМОЛИНСКАЯ, СТЕПНОГОРСК, -, 37, 77"</f>
        <v>КАЗАХСТАН, АКМОЛИНСКАЯ, СТЕПНОГОРСК, -, 37, 77</v>
      </c>
      <c r="S278" t="str">
        <f>"ҚАЗАҚСТАН, АҚМОЛА, СТЕПНОГОР, -, 37, 77"</f>
        <v>ҚАЗАҚСТАН, АҚМОЛА, СТЕПНОГОР, -, 37, 77</v>
      </c>
      <c r="T278" t="str">
        <f>"-, 37, 77"</f>
        <v>-, 37, 77</v>
      </c>
      <c r="U278" t="str">
        <f>"-, 37, 77"</f>
        <v>-, 37, 77</v>
      </c>
      <c r="AC278" t="str">
        <f>"2019-07-25T00:00:00"</f>
        <v>2019-07-25T00:00:00</v>
      </c>
      <c r="AD278" t="str">
        <f>"116"</f>
        <v>116</v>
      </c>
      <c r="AG278" t="s">
        <v>202</v>
      </c>
      <c r="AI278" t="s">
        <v>299</v>
      </c>
      <c r="AJ278" t="s">
        <v>501</v>
      </c>
      <c r="AK278" t="s">
        <v>205</v>
      </c>
      <c r="AL278" t="s">
        <v>206</v>
      </c>
      <c r="AN278" t="s">
        <v>207</v>
      </c>
      <c r="AO278">
        <v>1</v>
      </c>
      <c r="AP278" t="s">
        <v>208</v>
      </c>
      <c r="AQ278" t="s">
        <v>209</v>
      </c>
      <c r="AR278" t="s">
        <v>502</v>
      </c>
      <c r="AW278" t="s">
        <v>212</v>
      </c>
      <c r="AZ278" t="s">
        <v>209</v>
      </c>
      <c r="BI278" t="s">
        <v>212</v>
      </c>
      <c r="BJ278" t="s">
        <v>213</v>
      </c>
      <c r="BK278" t="s">
        <v>214</v>
      </c>
      <c r="BL278" t="s">
        <v>357</v>
      </c>
      <c r="BN278" t="s">
        <v>216</v>
      </c>
      <c r="BO278" t="s">
        <v>209</v>
      </c>
      <c r="BP278" t="s">
        <v>241</v>
      </c>
      <c r="BQ278">
        <v>4</v>
      </c>
      <c r="BS278" t="s">
        <v>219</v>
      </c>
      <c r="BT278" t="s">
        <v>220</v>
      </c>
      <c r="BU278" t="s">
        <v>206</v>
      </c>
      <c r="BX278" t="s">
        <v>234</v>
      </c>
      <c r="BY278" t="s">
        <v>234</v>
      </c>
      <c r="BZ278" t="s">
        <v>503</v>
      </c>
      <c r="CA278" t="s">
        <v>287</v>
      </c>
      <c r="CC278" t="s">
        <v>222</v>
      </c>
      <c r="CD278" t="s">
        <v>223</v>
      </c>
      <c r="CE278" t="s">
        <v>242</v>
      </c>
      <c r="CJ278" t="s">
        <v>206</v>
      </c>
      <c r="CK278" t="s">
        <v>230</v>
      </c>
      <c r="CL278" t="s">
        <v>231</v>
      </c>
      <c r="CM278" t="s">
        <v>232</v>
      </c>
      <c r="CN278" t="s">
        <v>233</v>
      </c>
      <c r="CP278" t="s">
        <v>212</v>
      </c>
      <c r="CQ278" t="s">
        <v>212</v>
      </c>
      <c r="CR278" t="s">
        <v>212</v>
      </c>
      <c r="CS278" t="s">
        <v>212</v>
      </c>
      <c r="CY278" t="s">
        <v>212</v>
      </c>
      <c r="DB278" t="s">
        <v>234</v>
      </c>
      <c r="DE278" t="s">
        <v>212</v>
      </c>
      <c r="DF278" t="s">
        <v>212</v>
      </c>
      <c r="DG278" t="s">
        <v>235</v>
      </c>
      <c r="DH278" t="s">
        <v>212</v>
      </c>
      <c r="DJ278" t="s">
        <v>236</v>
      </c>
      <c r="DM278" t="s">
        <v>212</v>
      </c>
    </row>
    <row r="279" spans="1:184" x14ac:dyDescent="0.3">
      <c r="A279">
        <v>14159085</v>
      </c>
      <c r="B279">
        <v>315344</v>
      </c>
      <c r="C279" t="str">
        <f>"100731551598"</f>
        <v>100731551598</v>
      </c>
      <c r="D279" t="s">
        <v>1050</v>
      </c>
      <c r="E279" t="s">
        <v>1051</v>
      </c>
      <c r="F279" t="s">
        <v>1052</v>
      </c>
      <c r="G279" s="1">
        <v>40390</v>
      </c>
      <c r="I279" t="s">
        <v>240</v>
      </c>
      <c r="J279" t="s">
        <v>200</v>
      </c>
      <c r="K279" t="s">
        <v>201</v>
      </c>
      <c r="R279" t="str">
        <f>"АНДОРРА, АКМОЛИНСКАЯ, КОКШЕТАУ, 25, 59"</f>
        <v>АНДОРРА, АКМОЛИНСКАЯ, КОКШЕТАУ, 25, 59</v>
      </c>
      <c r="S279" t="str">
        <f>"АНДОРРА, АҚМОЛА, КӨКШЕТАУ, 25, 59"</f>
        <v>АНДОРРА, АҚМОЛА, КӨКШЕТАУ, 25, 59</v>
      </c>
      <c r="T279" t="str">
        <f>"25, 59"</f>
        <v>25, 59</v>
      </c>
      <c r="U279" t="str">
        <f>"25, 59"</f>
        <v>25, 59</v>
      </c>
      <c r="AC279" t="str">
        <f>"2019-10-03T00:00:00"</f>
        <v>2019-10-03T00:00:00</v>
      </c>
      <c r="AD279" t="str">
        <f>"38"</f>
        <v>38</v>
      </c>
      <c r="AG279" t="s">
        <v>333</v>
      </c>
      <c r="AI279" t="s">
        <v>274</v>
      </c>
      <c r="AJ279" t="s">
        <v>300</v>
      </c>
      <c r="AK279" t="s">
        <v>261</v>
      </c>
      <c r="AL279" t="s">
        <v>206</v>
      </c>
      <c r="AN279" t="s">
        <v>207</v>
      </c>
      <c r="AO279">
        <v>1</v>
      </c>
      <c r="AP279" t="s">
        <v>208</v>
      </c>
      <c r="AQ279" t="s">
        <v>209</v>
      </c>
      <c r="AR279" t="s">
        <v>210</v>
      </c>
      <c r="AW279" t="s">
        <v>206</v>
      </c>
      <c r="AX279" t="s">
        <v>211</v>
      </c>
      <c r="AZ279" t="s">
        <v>209</v>
      </c>
      <c r="BI279" t="s">
        <v>212</v>
      </c>
      <c r="BJ279" t="s">
        <v>213</v>
      </c>
      <c r="BK279" t="s">
        <v>214</v>
      </c>
      <c r="BL279" t="s">
        <v>215</v>
      </c>
      <c r="BN279" t="s">
        <v>216</v>
      </c>
      <c r="BO279" t="s">
        <v>209</v>
      </c>
      <c r="BP279" t="s">
        <v>241</v>
      </c>
      <c r="BQ279">
        <v>4</v>
      </c>
      <c r="BS279" t="s">
        <v>219</v>
      </c>
      <c r="BT279" t="s">
        <v>220</v>
      </c>
      <c r="BU279" t="s">
        <v>206</v>
      </c>
      <c r="BX279" t="s">
        <v>221</v>
      </c>
      <c r="BY279" t="s">
        <v>221</v>
      </c>
      <c r="CA279" t="s">
        <v>222</v>
      </c>
      <c r="CB279" t="s">
        <v>223</v>
      </c>
      <c r="CC279" t="s">
        <v>282</v>
      </c>
      <c r="CD279" t="s">
        <v>223</v>
      </c>
      <c r="CE279" t="s">
        <v>225</v>
      </c>
      <c r="CF279" t="s">
        <v>226</v>
      </c>
      <c r="CG279" t="s">
        <v>227</v>
      </c>
      <c r="CH279" t="s">
        <v>228</v>
      </c>
      <c r="CI279" t="s">
        <v>1053</v>
      </c>
      <c r="CJ279" t="s">
        <v>206</v>
      </c>
      <c r="CK279" t="s">
        <v>230</v>
      </c>
      <c r="CL279" t="s">
        <v>231</v>
      </c>
      <c r="CM279" t="s">
        <v>232</v>
      </c>
      <c r="CN279" t="s">
        <v>233</v>
      </c>
      <c r="CP279" t="s">
        <v>212</v>
      </c>
      <c r="CQ279" t="s">
        <v>212</v>
      </c>
      <c r="CR279" t="s">
        <v>212</v>
      </c>
      <c r="CS279" t="s">
        <v>212</v>
      </c>
      <c r="CY279" t="s">
        <v>212</v>
      </c>
      <c r="DB279" t="s">
        <v>234</v>
      </c>
      <c r="DE279" t="s">
        <v>212</v>
      </c>
      <c r="DF279" t="s">
        <v>212</v>
      </c>
      <c r="DG279" t="s">
        <v>235</v>
      </c>
      <c r="DH279" t="s">
        <v>212</v>
      </c>
      <c r="DJ279" t="s">
        <v>236</v>
      </c>
      <c r="DM279" t="s">
        <v>212</v>
      </c>
    </row>
    <row r="280" spans="1:184" x14ac:dyDescent="0.3">
      <c r="A280">
        <v>24649778</v>
      </c>
      <c r="B280">
        <v>11891915</v>
      </c>
      <c r="C280" t="str">
        <f>"161129602864"</f>
        <v>161129602864</v>
      </c>
      <c r="D280" t="s">
        <v>1054</v>
      </c>
      <c r="E280" t="s">
        <v>991</v>
      </c>
      <c r="F280" t="s">
        <v>1055</v>
      </c>
      <c r="G280" s="1">
        <v>42703</v>
      </c>
      <c r="I280" t="s">
        <v>199</v>
      </c>
      <c r="J280" t="s">
        <v>200</v>
      </c>
      <c r="K280" t="s">
        <v>201</v>
      </c>
      <c r="Q280" t="s">
        <v>212</v>
      </c>
      <c r="R280" t="str">
        <f>"КАЗАХСТАН, АКМОЛИНСКАЯ, СТЕПНОГОРСК, КЕНТI Аксу, 27, 1"</f>
        <v>КАЗАХСТАН, АКМОЛИНСКАЯ, СТЕПНОГОРСК, КЕНТI Аксу, 27, 1</v>
      </c>
      <c r="S280" t="str">
        <f>"ҚАЗАҚСТАН, АҚМОЛА, СТЕПНОГОР, КЕНТI Аксу, 27, 1"</f>
        <v>ҚАЗАҚСТАН, АҚМОЛА, СТЕПНОГОР, КЕНТI Аксу, 27, 1</v>
      </c>
      <c r="T280" t="str">
        <f>"КЕНТI Аксу, 27, 1"</f>
        <v>КЕНТI Аксу, 27, 1</v>
      </c>
      <c r="U280" t="str">
        <f>"КЕНТI Аксу, 27, 1"</f>
        <v>КЕНТI Аксу, 27, 1</v>
      </c>
      <c r="AC280" t="str">
        <f>"2022-08-23T00:00:00"</f>
        <v>2022-08-23T00:00:00</v>
      </c>
      <c r="AD280" t="str">
        <f>"201"</f>
        <v>201</v>
      </c>
      <c r="AE280" t="str">
        <f>"2023-09-01T17:33:29"</f>
        <v>2023-09-01T17:33:29</v>
      </c>
      <c r="AF280" t="str">
        <f>"2024-05-25T17:33:29"</f>
        <v>2024-05-25T17:33:29</v>
      </c>
      <c r="AG280" t="s">
        <v>202</v>
      </c>
      <c r="AI280" t="s">
        <v>274</v>
      </c>
      <c r="AJ280" t="s">
        <v>660</v>
      </c>
      <c r="AK280" t="s">
        <v>434</v>
      </c>
      <c r="AL280" t="s">
        <v>206</v>
      </c>
      <c r="AN280" t="s">
        <v>254</v>
      </c>
      <c r="AO280">
        <v>1</v>
      </c>
      <c r="AP280" t="s">
        <v>208</v>
      </c>
      <c r="AQ280" t="s">
        <v>209</v>
      </c>
      <c r="AR280" t="s">
        <v>502</v>
      </c>
      <c r="AW280" t="s">
        <v>212</v>
      </c>
      <c r="AZ280" t="s">
        <v>209</v>
      </c>
      <c r="BI280" t="s">
        <v>212</v>
      </c>
      <c r="BJ280" t="s">
        <v>213</v>
      </c>
      <c r="BK280" t="s">
        <v>214</v>
      </c>
      <c r="BL280" t="s">
        <v>357</v>
      </c>
      <c r="BN280" t="s">
        <v>661</v>
      </c>
      <c r="BO280" t="s">
        <v>209</v>
      </c>
      <c r="BS280" t="s">
        <v>220</v>
      </c>
      <c r="BU280" t="s">
        <v>212</v>
      </c>
      <c r="BZ280" t="s">
        <v>662</v>
      </c>
      <c r="CA280" t="s">
        <v>287</v>
      </c>
      <c r="CC280" t="s">
        <v>310</v>
      </c>
      <c r="CD280" t="s">
        <v>349</v>
      </c>
      <c r="CE280" t="s">
        <v>242</v>
      </c>
      <c r="CJ280" t="s">
        <v>206</v>
      </c>
      <c r="CK280" t="s">
        <v>230</v>
      </c>
      <c r="CL280" t="s">
        <v>231</v>
      </c>
      <c r="CM280" t="s">
        <v>232</v>
      </c>
      <c r="CN280" t="s">
        <v>233</v>
      </c>
      <c r="CP280" t="s">
        <v>212</v>
      </c>
      <c r="CQ280" t="s">
        <v>212</v>
      </c>
      <c r="CR280" t="s">
        <v>212</v>
      </c>
      <c r="CS280" t="s">
        <v>212</v>
      </c>
      <c r="CY280" t="s">
        <v>212</v>
      </c>
      <c r="DB280" t="s">
        <v>234</v>
      </c>
      <c r="DE280" t="s">
        <v>212</v>
      </c>
      <c r="DF280" t="s">
        <v>212</v>
      </c>
      <c r="DG280" t="s">
        <v>235</v>
      </c>
      <c r="DH280" t="s">
        <v>212</v>
      </c>
      <c r="DJ280" t="s">
        <v>236</v>
      </c>
      <c r="DM280" t="s">
        <v>212</v>
      </c>
    </row>
    <row r="281" spans="1:184" x14ac:dyDescent="0.3">
      <c r="A281">
        <v>24660482</v>
      </c>
      <c r="B281">
        <v>195972</v>
      </c>
      <c r="C281" t="str">
        <f>"100731650635"</f>
        <v>100731650635</v>
      </c>
      <c r="D281" t="s">
        <v>1056</v>
      </c>
      <c r="E281" t="s">
        <v>1057</v>
      </c>
      <c r="F281" t="s">
        <v>1058</v>
      </c>
      <c r="G281" s="1">
        <v>40390</v>
      </c>
      <c r="I281" t="s">
        <v>199</v>
      </c>
      <c r="J281" t="s">
        <v>200</v>
      </c>
      <c r="K281" t="s">
        <v>201</v>
      </c>
      <c r="Q281" t="s">
        <v>212</v>
      </c>
      <c r="R281" t="str">
        <f>"КАЗАХСТАН, АКМОЛИНСКАЯ, КОСШЫ, 43, 4"</f>
        <v>КАЗАХСТАН, АКМОЛИНСКАЯ, КОСШЫ, 43, 4</v>
      </c>
      <c r="S281" t="str">
        <f>"ҚАЗАҚСТАН, АҚМОЛА, ҚОСШЫ, 43, 4"</f>
        <v>ҚАЗАҚСТАН, АҚМОЛА, ҚОСШЫ, 43, 4</v>
      </c>
      <c r="T281" t="str">
        <f>"43, 4"</f>
        <v>43, 4</v>
      </c>
      <c r="U281" t="str">
        <f>"43, 4"</f>
        <v>43, 4</v>
      </c>
      <c r="AC281" t="str">
        <f>"2023-03-28T00:00:00"</f>
        <v>2023-03-28T00:00:00</v>
      </c>
      <c r="AD281" t="str">
        <f>"20"</f>
        <v>20</v>
      </c>
      <c r="AG281" t="s">
        <v>333</v>
      </c>
      <c r="AI281" t="s">
        <v>299</v>
      </c>
      <c r="AJ281" t="s">
        <v>300</v>
      </c>
      <c r="AK281" t="s">
        <v>246</v>
      </c>
      <c r="AL281" t="s">
        <v>206</v>
      </c>
      <c r="AN281" t="s">
        <v>207</v>
      </c>
      <c r="AO281">
        <v>1</v>
      </c>
      <c r="AP281" t="s">
        <v>208</v>
      </c>
      <c r="AQ281" t="s">
        <v>209</v>
      </c>
      <c r="AR281" t="s">
        <v>210</v>
      </c>
      <c r="AW281" t="s">
        <v>206</v>
      </c>
      <c r="AX281" t="s">
        <v>211</v>
      </c>
      <c r="AZ281" t="s">
        <v>209</v>
      </c>
      <c r="BI281" t="s">
        <v>212</v>
      </c>
      <c r="BJ281" t="s">
        <v>213</v>
      </c>
      <c r="BK281" t="s">
        <v>214</v>
      </c>
      <c r="BL281" t="s">
        <v>215</v>
      </c>
      <c r="BN281" t="s">
        <v>216</v>
      </c>
      <c r="BO281" t="s">
        <v>209</v>
      </c>
      <c r="BP281" t="s">
        <v>241</v>
      </c>
      <c r="BQ281">
        <v>4</v>
      </c>
      <c r="BS281" t="s">
        <v>219</v>
      </c>
      <c r="BT281" t="s">
        <v>220</v>
      </c>
      <c r="BU281" t="s">
        <v>206</v>
      </c>
      <c r="CA281" t="s">
        <v>287</v>
      </c>
      <c r="CC281" t="s">
        <v>209</v>
      </c>
      <c r="CE281" t="s">
        <v>242</v>
      </c>
      <c r="CJ281" t="s">
        <v>206</v>
      </c>
      <c r="CK281" t="s">
        <v>230</v>
      </c>
      <c r="CL281" t="s">
        <v>231</v>
      </c>
      <c r="CM281" t="s">
        <v>232</v>
      </c>
      <c r="CN281" t="s">
        <v>233</v>
      </c>
      <c r="CP281" t="s">
        <v>212</v>
      </c>
      <c r="CQ281" t="s">
        <v>212</v>
      </c>
      <c r="CR281" t="s">
        <v>212</v>
      </c>
      <c r="CS281" t="s">
        <v>212</v>
      </c>
      <c r="CY281" t="s">
        <v>212</v>
      </c>
      <c r="DB281" t="s">
        <v>234</v>
      </c>
      <c r="DE281" t="s">
        <v>212</v>
      </c>
      <c r="DF281" t="s">
        <v>212</v>
      </c>
      <c r="DG281" t="s">
        <v>235</v>
      </c>
      <c r="DH281" t="s">
        <v>212</v>
      </c>
      <c r="DJ281" t="s">
        <v>236</v>
      </c>
      <c r="DM281" t="s">
        <v>212</v>
      </c>
    </row>
    <row r="282" spans="1:184" x14ac:dyDescent="0.3">
      <c r="A282">
        <v>13642106</v>
      </c>
      <c r="B282">
        <v>830702</v>
      </c>
      <c r="C282" t="str">
        <f>"090512550297"</f>
        <v>090512550297</v>
      </c>
      <c r="D282" t="s">
        <v>958</v>
      </c>
      <c r="E282" t="s">
        <v>1059</v>
      </c>
      <c r="F282" t="s">
        <v>558</v>
      </c>
      <c r="G282" s="1">
        <v>39945</v>
      </c>
      <c r="I282" t="s">
        <v>240</v>
      </c>
      <c r="J282" t="s">
        <v>200</v>
      </c>
      <c r="K282" t="s">
        <v>1060</v>
      </c>
      <c r="R282" t="str">
        <f>"КАЗАХСТАН, АКМОЛИНСКАЯ, СТЕПНОГОРСК, 33, 31"</f>
        <v>КАЗАХСТАН, АКМОЛИНСКАЯ, СТЕПНОГОРСК, 33, 31</v>
      </c>
      <c r="S282" t="str">
        <f>"ҚАЗАҚСТАН, АҚМОЛА, СТЕПНОГОР, 33, 31"</f>
        <v>ҚАЗАҚСТАН, АҚМОЛА, СТЕПНОГОР, 33, 31</v>
      </c>
      <c r="T282" t="str">
        <f>"33, 31"</f>
        <v>33, 31</v>
      </c>
      <c r="U282" t="str">
        <f>"33, 31"</f>
        <v>33, 31</v>
      </c>
      <c r="AC282" t="str">
        <f>"2016-09-01T00:00:00"</f>
        <v>2016-09-01T00:00:00</v>
      </c>
      <c r="AD282" t="str">
        <f>"1"</f>
        <v>1</v>
      </c>
      <c r="AE282" t="str">
        <f>"2023-09-01T08:56:12"</f>
        <v>2023-09-01T08:56:12</v>
      </c>
      <c r="AF282" t="str">
        <f>"2024-05-25T08:56:12"</f>
        <v>2024-05-25T08:56:12</v>
      </c>
      <c r="AG282" t="s">
        <v>202</v>
      </c>
      <c r="AH282" t="str">
        <f>"ckool007@mail.ru"</f>
        <v>ckool007@mail.ru</v>
      </c>
      <c r="AI282" t="s">
        <v>274</v>
      </c>
      <c r="AJ282" t="s">
        <v>286</v>
      </c>
      <c r="AK282" t="s">
        <v>246</v>
      </c>
      <c r="AL282" t="s">
        <v>206</v>
      </c>
      <c r="AN282" t="s">
        <v>207</v>
      </c>
      <c r="AO282">
        <v>1</v>
      </c>
      <c r="AP282" t="s">
        <v>208</v>
      </c>
      <c r="AQ282" t="s">
        <v>209</v>
      </c>
      <c r="AR282" t="s">
        <v>210</v>
      </c>
      <c r="AV282" t="str">
        <f>"2021-01-25T00:36:52"</f>
        <v>2021-01-25T00:36:52</v>
      </c>
      <c r="AW282" t="s">
        <v>206</v>
      </c>
      <c r="AX282" t="s">
        <v>211</v>
      </c>
      <c r="AZ282" t="s">
        <v>209</v>
      </c>
      <c r="BI282" t="s">
        <v>212</v>
      </c>
      <c r="BJ282" t="s">
        <v>213</v>
      </c>
      <c r="BK282" t="s">
        <v>214</v>
      </c>
      <c r="BL282" t="s">
        <v>215</v>
      </c>
      <c r="BN282" t="s">
        <v>247</v>
      </c>
      <c r="BO282" t="s">
        <v>209</v>
      </c>
      <c r="BP282" t="s">
        <v>241</v>
      </c>
      <c r="BQ282">
        <v>3</v>
      </c>
      <c r="BS282" t="s">
        <v>219</v>
      </c>
      <c r="BT282" t="s">
        <v>220</v>
      </c>
      <c r="BU282" t="s">
        <v>206</v>
      </c>
      <c r="BX282" t="s">
        <v>234</v>
      </c>
      <c r="BY282" t="s">
        <v>234</v>
      </c>
      <c r="CA282" t="s">
        <v>287</v>
      </c>
      <c r="CC282" t="s">
        <v>209</v>
      </c>
      <c r="CE282" t="s">
        <v>242</v>
      </c>
      <c r="CJ282" t="s">
        <v>206</v>
      </c>
      <c r="CK282" t="s">
        <v>291</v>
      </c>
      <c r="CM282" t="s">
        <v>292</v>
      </c>
      <c r="CN282" t="s">
        <v>233</v>
      </c>
      <c r="CP282" t="s">
        <v>212</v>
      </c>
      <c r="CQ282" t="s">
        <v>212</v>
      </c>
      <c r="CR282" t="s">
        <v>212</v>
      </c>
      <c r="CS282" t="s">
        <v>212</v>
      </c>
      <c r="CY282" t="s">
        <v>212</v>
      </c>
      <c r="DB282" t="s">
        <v>234</v>
      </c>
      <c r="DE282" t="s">
        <v>212</v>
      </c>
      <c r="DF282" t="s">
        <v>212</v>
      </c>
      <c r="DG282" t="s">
        <v>235</v>
      </c>
      <c r="DH282" t="s">
        <v>212</v>
      </c>
      <c r="DJ282" t="s">
        <v>421</v>
      </c>
      <c r="DK282" t="s">
        <v>422</v>
      </c>
      <c r="DL282" t="s">
        <v>423</v>
      </c>
      <c r="DM282" t="s">
        <v>206</v>
      </c>
    </row>
    <row r="283" spans="1:184" x14ac:dyDescent="0.3">
      <c r="A283">
        <v>24691542</v>
      </c>
      <c r="B283">
        <v>838997</v>
      </c>
      <c r="C283" t="str">
        <f>"131125502711"</f>
        <v>131125502711</v>
      </c>
      <c r="D283" t="s">
        <v>1061</v>
      </c>
      <c r="E283" t="s">
        <v>644</v>
      </c>
      <c r="F283" t="s">
        <v>1062</v>
      </c>
      <c r="G283" s="1">
        <v>41603</v>
      </c>
      <c r="I283" t="s">
        <v>240</v>
      </c>
      <c r="J283" t="s">
        <v>200</v>
      </c>
      <c r="K283" t="s">
        <v>201</v>
      </c>
      <c r="Q283" t="s">
        <v>212</v>
      </c>
      <c r="R283" t="str">
        <f>"КАЗАХСТАН, АКМОЛИНСКАЯ, СТЕПНОГОРСК, 37, 36"</f>
        <v>КАЗАХСТАН, АКМОЛИНСКАЯ, СТЕПНОГОРСК, 37, 36</v>
      </c>
      <c r="S283" t="str">
        <f>"ҚАЗАҚСТАН, АҚМОЛА, СТЕПНОГОР, 37, 36"</f>
        <v>ҚАЗАҚСТАН, АҚМОЛА, СТЕПНОГОР, 37, 36</v>
      </c>
      <c r="T283" t="str">
        <f>"37, 36"</f>
        <v>37, 36</v>
      </c>
      <c r="U283" t="str">
        <f>"37, 36"</f>
        <v>37, 36</v>
      </c>
      <c r="AC283" t="str">
        <f>"2022-09-15T00:00:00"</f>
        <v>2022-09-15T00:00:00</v>
      </c>
      <c r="AD283" t="str">
        <f>"144"</f>
        <v>144</v>
      </c>
      <c r="AE283" t="str">
        <f>"2023-09-01T10:04:11"</f>
        <v>2023-09-01T10:04:11</v>
      </c>
      <c r="AF283" t="str">
        <f>"2024-05-25T10:04:11"</f>
        <v>2024-05-25T10:04:11</v>
      </c>
      <c r="AG283" t="s">
        <v>202</v>
      </c>
      <c r="AI283" t="s">
        <v>269</v>
      </c>
      <c r="AJ283" t="s">
        <v>501</v>
      </c>
      <c r="AK283" t="s">
        <v>253</v>
      </c>
      <c r="AL283" t="s">
        <v>206</v>
      </c>
      <c r="AN283" t="s">
        <v>254</v>
      </c>
      <c r="AO283">
        <v>1</v>
      </c>
      <c r="AP283" t="s">
        <v>208</v>
      </c>
      <c r="AQ283" t="s">
        <v>209</v>
      </c>
      <c r="AR283" t="s">
        <v>502</v>
      </c>
      <c r="AW283" t="s">
        <v>212</v>
      </c>
      <c r="AZ283" t="s">
        <v>209</v>
      </c>
      <c r="BI283" t="s">
        <v>212</v>
      </c>
      <c r="BJ283" t="s">
        <v>213</v>
      </c>
      <c r="BK283" t="s">
        <v>214</v>
      </c>
      <c r="BL283" t="s">
        <v>420</v>
      </c>
      <c r="BN283" t="s">
        <v>247</v>
      </c>
      <c r="BO283" t="s">
        <v>209</v>
      </c>
      <c r="BP283" t="s">
        <v>415</v>
      </c>
      <c r="BQ283" t="s">
        <v>416</v>
      </c>
      <c r="BS283" t="s">
        <v>219</v>
      </c>
      <c r="BT283" t="s">
        <v>220</v>
      </c>
      <c r="BU283" t="s">
        <v>206</v>
      </c>
      <c r="BZ283" t="s">
        <v>503</v>
      </c>
      <c r="CA283" t="s">
        <v>287</v>
      </c>
      <c r="CC283" t="s">
        <v>209</v>
      </c>
      <c r="CE283" t="s">
        <v>242</v>
      </c>
      <c r="CJ283" t="s">
        <v>206</v>
      </c>
      <c r="CK283" t="s">
        <v>230</v>
      </c>
      <c r="CL283" t="s">
        <v>231</v>
      </c>
      <c r="CM283" t="s">
        <v>232</v>
      </c>
      <c r="CN283" t="s">
        <v>233</v>
      </c>
      <c r="CP283" t="s">
        <v>212</v>
      </c>
      <c r="CQ283" t="s">
        <v>212</v>
      </c>
      <c r="CR283" t="s">
        <v>212</v>
      </c>
      <c r="CS283" t="s">
        <v>212</v>
      </c>
      <c r="CY283" t="s">
        <v>212</v>
      </c>
      <c r="DB283" t="s">
        <v>234</v>
      </c>
      <c r="DE283" t="s">
        <v>212</v>
      </c>
      <c r="DF283" t="s">
        <v>212</v>
      </c>
      <c r="DG283" t="s">
        <v>235</v>
      </c>
      <c r="DH283" t="s">
        <v>212</v>
      </c>
      <c r="DJ283" t="s">
        <v>236</v>
      </c>
      <c r="DM283" t="s">
        <v>212</v>
      </c>
    </row>
    <row r="284" spans="1:184" x14ac:dyDescent="0.3">
      <c r="A284">
        <v>24694174</v>
      </c>
      <c r="B284">
        <v>760731</v>
      </c>
      <c r="C284" t="str">
        <f>"131023601160"</f>
        <v>131023601160</v>
      </c>
      <c r="D284" t="s">
        <v>1063</v>
      </c>
      <c r="E284" t="s">
        <v>347</v>
      </c>
      <c r="F284" t="s">
        <v>1064</v>
      </c>
      <c r="G284" s="1">
        <v>41570</v>
      </c>
      <c r="I284" t="s">
        <v>199</v>
      </c>
      <c r="J284" t="s">
        <v>200</v>
      </c>
      <c r="K284" t="s">
        <v>260</v>
      </c>
      <c r="R284" t="str">
        <f>"КАЗАХСТАН, АКМОЛИНСКАЯ, СТЕПНОГОРСК, 40, 52"</f>
        <v>КАЗАХСТАН, АКМОЛИНСКАЯ, СТЕПНОГОРСК, 40, 52</v>
      </c>
      <c r="S284" t="str">
        <f>"ҚАЗАҚСТАН, АҚМОЛА, СТЕПНОГОР, 40, 52"</f>
        <v>ҚАЗАҚСТАН, АҚМОЛА, СТЕПНОГОР, 40, 52</v>
      </c>
      <c r="T284" t="str">
        <f>"40, 52"</f>
        <v>40, 52</v>
      </c>
      <c r="U284" t="str">
        <f>"40, 52"</f>
        <v>40, 52</v>
      </c>
      <c r="AC284" t="str">
        <f>"2023-04-04T00:00:00"</f>
        <v>2023-04-04T00:00:00</v>
      </c>
      <c r="AD284" t="str">
        <f>"21"</f>
        <v>21</v>
      </c>
      <c r="AG284" t="s">
        <v>202</v>
      </c>
      <c r="AI284" t="s">
        <v>203</v>
      </c>
      <c r="AJ284" t="s">
        <v>501</v>
      </c>
      <c r="AK284" t="s">
        <v>261</v>
      </c>
      <c r="AL284" t="s">
        <v>206</v>
      </c>
      <c r="AN284" t="s">
        <v>207</v>
      </c>
      <c r="AO284">
        <v>1</v>
      </c>
      <c r="AP284" t="s">
        <v>208</v>
      </c>
      <c r="AQ284" t="s">
        <v>209</v>
      </c>
      <c r="AR284" t="s">
        <v>502</v>
      </c>
      <c r="AW284" t="s">
        <v>212</v>
      </c>
      <c r="AZ284" t="s">
        <v>209</v>
      </c>
      <c r="BI284" t="s">
        <v>212</v>
      </c>
      <c r="BJ284" t="s">
        <v>213</v>
      </c>
      <c r="BK284" t="s">
        <v>214</v>
      </c>
      <c r="BL284" t="s">
        <v>357</v>
      </c>
      <c r="BN284" t="s">
        <v>216</v>
      </c>
      <c r="BO284" t="s">
        <v>209</v>
      </c>
      <c r="BP284" t="s">
        <v>241</v>
      </c>
      <c r="BQ284">
        <v>4</v>
      </c>
      <c r="BS284" t="s">
        <v>219</v>
      </c>
      <c r="BT284" t="s">
        <v>220</v>
      </c>
      <c r="BU284" t="s">
        <v>206</v>
      </c>
      <c r="BZ284" t="s">
        <v>503</v>
      </c>
      <c r="CA284" t="s">
        <v>287</v>
      </c>
      <c r="CC284" t="s">
        <v>209</v>
      </c>
      <c r="CE284" t="s">
        <v>242</v>
      </c>
      <c r="CJ284" t="s">
        <v>206</v>
      </c>
      <c r="CK284" t="s">
        <v>230</v>
      </c>
      <c r="CL284" t="s">
        <v>231</v>
      </c>
      <c r="CM284" t="s">
        <v>232</v>
      </c>
      <c r="CN284" t="s">
        <v>233</v>
      </c>
      <c r="CP284" t="s">
        <v>212</v>
      </c>
      <c r="CQ284" t="s">
        <v>212</v>
      </c>
      <c r="CR284" t="s">
        <v>212</v>
      </c>
      <c r="CS284" t="s">
        <v>212</v>
      </c>
      <c r="CY284" t="s">
        <v>212</v>
      </c>
      <c r="DB284" t="s">
        <v>234</v>
      </c>
      <c r="DE284" t="s">
        <v>212</v>
      </c>
      <c r="DF284" t="s">
        <v>212</v>
      </c>
      <c r="DG284" t="s">
        <v>235</v>
      </c>
      <c r="DH284" t="s">
        <v>212</v>
      </c>
      <c r="DJ284" t="s">
        <v>236</v>
      </c>
      <c r="DM284" t="s">
        <v>212</v>
      </c>
    </row>
    <row r="285" spans="1:184" x14ac:dyDescent="0.3">
      <c r="A285">
        <v>13525290</v>
      </c>
      <c r="B285">
        <v>7281301</v>
      </c>
      <c r="C285" t="str">
        <f>"110605502972"</f>
        <v>110605502972</v>
      </c>
      <c r="D285" t="s">
        <v>1065</v>
      </c>
      <c r="E285" t="s">
        <v>1066</v>
      </c>
      <c r="F285" t="s">
        <v>1067</v>
      </c>
      <c r="G285" s="1">
        <v>40699</v>
      </c>
      <c r="I285" t="s">
        <v>240</v>
      </c>
      <c r="J285" t="s">
        <v>200</v>
      </c>
      <c r="K285" t="s">
        <v>201</v>
      </c>
      <c r="R285" t="str">
        <f>"КАЗАХСТАН, АКМОЛИНСКАЯ, СТЕПНОГОРСК, 87, 51"</f>
        <v>КАЗАХСТАН, АКМОЛИНСКАЯ, СТЕПНОГОРСК, 87, 51</v>
      </c>
      <c r="S285" t="str">
        <f>"ҚАЗАҚСТАН, АҚМОЛА, СТЕПНОГОР, 87, 51"</f>
        <v>ҚАЗАҚСТАН, АҚМОЛА, СТЕПНОГОР, 87, 51</v>
      </c>
      <c r="T285" t="str">
        <f>"87, 51"</f>
        <v>87, 51</v>
      </c>
      <c r="U285" t="str">
        <f>"87, 51"</f>
        <v>87, 51</v>
      </c>
      <c r="AC285" t="str">
        <f>"2019-04-10T00:00:00"</f>
        <v>2019-04-10T00:00:00</v>
      </c>
      <c r="AD285" t="str">
        <f>"346"</f>
        <v>346</v>
      </c>
      <c r="AG285" t="s">
        <v>646</v>
      </c>
      <c r="AI285" t="s">
        <v>274</v>
      </c>
      <c r="AJ285" t="s">
        <v>348</v>
      </c>
      <c r="AK285" t="s">
        <v>205</v>
      </c>
      <c r="AL285" t="s">
        <v>206</v>
      </c>
      <c r="AN285" t="s">
        <v>207</v>
      </c>
      <c r="AO285">
        <v>1</v>
      </c>
      <c r="AP285" t="s">
        <v>208</v>
      </c>
      <c r="AQ285" t="s">
        <v>209</v>
      </c>
      <c r="AR285" t="s">
        <v>210</v>
      </c>
      <c r="AW285" t="s">
        <v>206</v>
      </c>
      <c r="AX285" t="s">
        <v>211</v>
      </c>
      <c r="AZ285" t="s">
        <v>209</v>
      </c>
      <c r="BI285" t="s">
        <v>212</v>
      </c>
      <c r="BJ285" t="s">
        <v>213</v>
      </c>
      <c r="BK285" t="s">
        <v>214</v>
      </c>
      <c r="BL285" t="s">
        <v>215</v>
      </c>
      <c r="BN285" t="s">
        <v>216</v>
      </c>
      <c r="BO285" t="s">
        <v>209</v>
      </c>
      <c r="BP285" t="s">
        <v>241</v>
      </c>
      <c r="BQ285">
        <v>4</v>
      </c>
      <c r="BS285" t="s">
        <v>219</v>
      </c>
      <c r="BT285" t="s">
        <v>220</v>
      </c>
      <c r="BU285" t="s">
        <v>206</v>
      </c>
      <c r="BX285" t="s">
        <v>221</v>
      </c>
      <c r="BY285" t="s">
        <v>221</v>
      </c>
      <c r="CA285" t="s">
        <v>222</v>
      </c>
      <c r="CB285" t="s">
        <v>223</v>
      </c>
      <c r="CC285" t="s">
        <v>222</v>
      </c>
      <c r="CD285" t="s">
        <v>223</v>
      </c>
      <c r="CE285" t="s">
        <v>242</v>
      </c>
      <c r="CJ285" t="s">
        <v>206</v>
      </c>
      <c r="CK285" t="s">
        <v>230</v>
      </c>
      <c r="CL285" t="s">
        <v>231</v>
      </c>
      <c r="CM285" t="s">
        <v>232</v>
      </c>
      <c r="CN285" t="s">
        <v>233</v>
      </c>
      <c r="CP285" t="s">
        <v>212</v>
      </c>
      <c r="CQ285" t="s">
        <v>212</v>
      </c>
      <c r="CR285" t="s">
        <v>212</v>
      </c>
      <c r="CS285" t="s">
        <v>212</v>
      </c>
      <c r="CY285" t="s">
        <v>212</v>
      </c>
      <c r="DB285" t="s">
        <v>234</v>
      </c>
      <c r="DE285" t="s">
        <v>212</v>
      </c>
      <c r="DF285" t="s">
        <v>212</v>
      </c>
      <c r="DG285" t="s">
        <v>235</v>
      </c>
      <c r="DH285" t="s">
        <v>212</v>
      </c>
      <c r="DJ285" t="s">
        <v>236</v>
      </c>
      <c r="DM285" t="s">
        <v>212</v>
      </c>
    </row>
    <row r="286" spans="1:184" x14ac:dyDescent="0.3">
      <c r="A286">
        <v>13379408</v>
      </c>
      <c r="B286">
        <v>183908</v>
      </c>
      <c r="C286" t="str">
        <f>"100226551671"</f>
        <v>100226551671</v>
      </c>
      <c r="D286" t="s">
        <v>772</v>
      </c>
      <c r="E286" t="s">
        <v>1068</v>
      </c>
      <c r="F286" t="s">
        <v>1069</v>
      </c>
      <c r="G286" s="1">
        <v>40235</v>
      </c>
      <c r="I286" t="s">
        <v>240</v>
      </c>
      <c r="J286" t="s">
        <v>200</v>
      </c>
      <c r="K286" t="s">
        <v>201</v>
      </c>
      <c r="Q286" t="s">
        <v>212</v>
      </c>
      <c r="R286" t="str">
        <f>"КАЗАХСТАН, АКМОЛИНСКАЯ, СТЕПНОГОРСК, Бестобе, 29"</f>
        <v>КАЗАХСТАН, АКМОЛИНСКАЯ, СТЕПНОГОРСК, Бестобе, 29</v>
      </c>
      <c r="S286" t="str">
        <f>"ҚАЗАҚСТАН, АҚМОЛА, СТЕПНОГОР, Бестобе, 29"</f>
        <v>ҚАЗАҚСТАН, АҚМОЛА, СТЕПНОГОР, Бестобе, 29</v>
      </c>
      <c r="T286" t="str">
        <f>"Бестобе, 29"</f>
        <v>Бестобе, 29</v>
      </c>
      <c r="U286" t="str">
        <f>"Бестобе, 29"</f>
        <v>Бестобе, 29</v>
      </c>
      <c r="AC286" t="str">
        <f>"2019-09-01T00:00:00"</f>
        <v>2019-09-01T00:00:00</v>
      </c>
      <c r="AD286" t="str">
        <f>"400"</f>
        <v>400</v>
      </c>
      <c r="AE286" t="str">
        <f>"2023-09-01T16:45:56"</f>
        <v>2023-09-01T16:45:56</v>
      </c>
      <c r="AF286" t="str">
        <f>"2024-05-25T16:45:56"</f>
        <v>2024-05-25T16:45:56</v>
      </c>
      <c r="AG286" t="s">
        <v>202</v>
      </c>
      <c r="AH286" t="str">
        <f>"ckool007@mail.ru"</f>
        <v>ckool007@mail.ru</v>
      </c>
      <c r="AI286" t="s">
        <v>274</v>
      </c>
      <c r="AJ286" t="s">
        <v>286</v>
      </c>
      <c r="AK286" t="s">
        <v>253</v>
      </c>
      <c r="AL286" t="s">
        <v>206</v>
      </c>
      <c r="AN286" t="s">
        <v>254</v>
      </c>
      <c r="AO286">
        <v>1</v>
      </c>
      <c r="AP286" t="s">
        <v>208</v>
      </c>
      <c r="AQ286" t="s">
        <v>209</v>
      </c>
      <c r="AR286" t="s">
        <v>210</v>
      </c>
      <c r="AW286" t="s">
        <v>206</v>
      </c>
      <c r="AX286" t="s">
        <v>211</v>
      </c>
      <c r="AZ286" t="s">
        <v>209</v>
      </c>
      <c r="BI286" t="s">
        <v>212</v>
      </c>
      <c r="BJ286" t="s">
        <v>213</v>
      </c>
      <c r="BK286" t="s">
        <v>214</v>
      </c>
      <c r="BL286" t="s">
        <v>357</v>
      </c>
      <c r="BN286" t="s">
        <v>216</v>
      </c>
      <c r="BO286" t="s">
        <v>209</v>
      </c>
      <c r="BP286" t="s">
        <v>241</v>
      </c>
      <c r="BQ286">
        <v>4</v>
      </c>
      <c r="BS286" t="s">
        <v>219</v>
      </c>
      <c r="BT286" t="s">
        <v>220</v>
      </c>
      <c r="BU286" t="s">
        <v>206</v>
      </c>
      <c r="BX286" t="s">
        <v>221</v>
      </c>
      <c r="BY286" t="s">
        <v>221</v>
      </c>
      <c r="CA286" t="s">
        <v>263</v>
      </c>
      <c r="CB286" t="s">
        <v>223</v>
      </c>
      <c r="CC286" t="s">
        <v>256</v>
      </c>
      <c r="CD286" t="s">
        <v>223</v>
      </c>
      <c r="CE286" t="s">
        <v>242</v>
      </c>
      <c r="CJ286" t="s">
        <v>206</v>
      </c>
      <c r="CK286" t="s">
        <v>230</v>
      </c>
      <c r="CL286" t="s">
        <v>231</v>
      </c>
      <c r="CM286" t="s">
        <v>232</v>
      </c>
      <c r="CN286" t="s">
        <v>233</v>
      </c>
      <c r="CP286" t="s">
        <v>212</v>
      </c>
      <c r="CQ286" t="s">
        <v>212</v>
      </c>
      <c r="CR286" t="s">
        <v>212</v>
      </c>
      <c r="CS286" t="s">
        <v>212</v>
      </c>
      <c r="CY286" t="s">
        <v>212</v>
      </c>
      <c r="DB286" t="s">
        <v>234</v>
      </c>
      <c r="DE286" t="s">
        <v>212</v>
      </c>
      <c r="DF286" t="s">
        <v>212</v>
      </c>
      <c r="DG286" t="s">
        <v>235</v>
      </c>
      <c r="DH286" t="s">
        <v>212</v>
      </c>
      <c r="DJ286" t="s">
        <v>421</v>
      </c>
      <c r="DK286" t="s">
        <v>992</v>
      </c>
      <c r="DM286" t="s">
        <v>212</v>
      </c>
    </row>
    <row r="287" spans="1:184" x14ac:dyDescent="0.3">
      <c r="A287">
        <v>24729460</v>
      </c>
      <c r="B287">
        <v>10120570</v>
      </c>
      <c r="C287" t="str">
        <f>"170611502728"</f>
        <v>170611502728</v>
      </c>
      <c r="D287" t="s">
        <v>1070</v>
      </c>
      <c r="E287" t="s">
        <v>1071</v>
      </c>
      <c r="F287" t="s">
        <v>1072</v>
      </c>
      <c r="G287" s="1">
        <v>42897</v>
      </c>
      <c r="I287" t="s">
        <v>240</v>
      </c>
      <c r="J287" t="s">
        <v>200</v>
      </c>
      <c r="K287" t="s">
        <v>201</v>
      </c>
      <c r="Q287" t="s">
        <v>212</v>
      </c>
      <c r="R287" t="str">
        <f>"КАЗАХСТАН, АКМОЛИНСКАЯ, ЗЕРЕНДИНСКИЙ РАЙОН, Чаглинский, Шагалалы, 31"</f>
        <v>КАЗАХСТАН, АКМОЛИНСКАЯ, ЗЕРЕНДИНСКИЙ РАЙОН, Чаглинский, Шагалалы, 31</v>
      </c>
      <c r="S287" t="str">
        <f>"ҚАЗАҚСТАН, АҚМОЛА, ЗЕРЕНДІ АУДАНЫ, Чаглинский, Шагалалы, 31"</f>
        <v>ҚАЗАҚСТАН, АҚМОЛА, ЗЕРЕНДІ АУДАНЫ, Чаглинский, Шагалалы, 31</v>
      </c>
      <c r="T287" t="str">
        <f>"Чаглинский, Шагалалы, 31"</f>
        <v>Чаглинский, Шагалалы, 31</v>
      </c>
      <c r="U287" t="str">
        <f>"Чаглинский, Шагалалы, 31"</f>
        <v>Чаглинский, Шагалалы, 31</v>
      </c>
      <c r="AC287" t="str">
        <f>"2023-08-25T00:00:00"</f>
        <v>2023-08-25T00:00:00</v>
      </c>
      <c r="AD287" t="str">
        <f>"201"</f>
        <v>201</v>
      </c>
      <c r="AG287" t="s">
        <v>202</v>
      </c>
      <c r="AI287" t="s">
        <v>299</v>
      </c>
      <c r="AJ287" t="s">
        <v>660</v>
      </c>
      <c r="AK287" t="s">
        <v>253</v>
      </c>
      <c r="AL287" t="s">
        <v>206</v>
      </c>
      <c r="AN287" t="s">
        <v>254</v>
      </c>
      <c r="AO287">
        <v>1</v>
      </c>
      <c r="AP287" t="s">
        <v>208</v>
      </c>
      <c r="AQ287" t="s">
        <v>209</v>
      </c>
      <c r="AR287" t="s">
        <v>502</v>
      </c>
      <c r="AW287" t="s">
        <v>212</v>
      </c>
      <c r="AZ287" t="s">
        <v>209</v>
      </c>
      <c r="BI287" t="s">
        <v>212</v>
      </c>
      <c r="BJ287" t="s">
        <v>213</v>
      </c>
      <c r="BK287" t="s">
        <v>214</v>
      </c>
      <c r="BL287" t="s">
        <v>357</v>
      </c>
      <c r="BN287" t="s">
        <v>661</v>
      </c>
      <c r="BO287" t="s">
        <v>209</v>
      </c>
      <c r="BS287" t="s">
        <v>220</v>
      </c>
      <c r="BU287" t="s">
        <v>212</v>
      </c>
      <c r="BZ287" t="s">
        <v>662</v>
      </c>
      <c r="CA287" t="s">
        <v>287</v>
      </c>
      <c r="CC287" t="s">
        <v>209</v>
      </c>
      <c r="CE287" t="s">
        <v>242</v>
      </c>
      <c r="CJ287" t="s">
        <v>206</v>
      </c>
      <c r="CK287" t="s">
        <v>230</v>
      </c>
      <c r="CL287" t="s">
        <v>231</v>
      </c>
      <c r="CM287" t="s">
        <v>232</v>
      </c>
      <c r="CN287" t="s">
        <v>233</v>
      </c>
      <c r="CP287" t="s">
        <v>212</v>
      </c>
      <c r="CQ287" t="s">
        <v>212</v>
      </c>
      <c r="CR287" t="s">
        <v>212</v>
      </c>
      <c r="CS287" t="s">
        <v>212</v>
      </c>
      <c r="CY287" t="s">
        <v>212</v>
      </c>
      <c r="DB287" t="s">
        <v>234</v>
      </c>
      <c r="DE287" t="s">
        <v>212</v>
      </c>
      <c r="DF287" t="s">
        <v>212</v>
      </c>
      <c r="DG287" t="s">
        <v>235</v>
      </c>
      <c r="DH287" t="s">
        <v>212</v>
      </c>
      <c r="DJ287" t="s">
        <v>236</v>
      </c>
      <c r="DM287" t="s">
        <v>212</v>
      </c>
      <c r="GB287" t="s">
        <v>206</v>
      </c>
    </row>
    <row r="288" spans="1:184" x14ac:dyDescent="0.3">
      <c r="A288">
        <v>13379341</v>
      </c>
      <c r="B288">
        <v>184255</v>
      </c>
      <c r="C288" t="str">
        <f>"110804502121"</f>
        <v>110804502121</v>
      </c>
      <c r="D288" t="s">
        <v>772</v>
      </c>
      <c r="E288" t="s">
        <v>272</v>
      </c>
      <c r="F288" t="s">
        <v>1069</v>
      </c>
      <c r="G288" s="1">
        <v>40759</v>
      </c>
      <c r="I288" t="s">
        <v>240</v>
      </c>
      <c r="J288" t="s">
        <v>200</v>
      </c>
      <c r="K288" t="s">
        <v>201</v>
      </c>
      <c r="Q288" t="s">
        <v>212</v>
      </c>
      <c r="R288" t="str">
        <f>"КАЗАХСТАН, АКМОЛИНСКАЯ, СТЕПНОГОРСК, Бестобе, 8"</f>
        <v>КАЗАХСТАН, АКМОЛИНСКАЯ, СТЕПНОГОРСК, Бестобе, 8</v>
      </c>
      <c r="S288" t="str">
        <f>"ҚАЗАҚСТАН, АҚМОЛА, СТЕПНОГОР, Бестобе, 8"</f>
        <v>ҚАЗАҚСТАН, АҚМОЛА, СТЕПНОГОР, Бестобе, 8</v>
      </c>
      <c r="T288" t="str">
        <f>"Бестобе, 8"</f>
        <v>Бестобе, 8</v>
      </c>
      <c r="U288" t="str">
        <f>"Бестобе, 8"</f>
        <v>Бестобе, 8</v>
      </c>
      <c r="AC288" t="str">
        <f>"2019-09-01T00:00:00"</f>
        <v>2019-09-01T00:00:00</v>
      </c>
      <c r="AD288" t="str">
        <f>"402"</f>
        <v>402</v>
      </c>
      <c r="AE288" t="str">
        <f>"2023-09-01T16:44:12"</f>
        <v>2023-09-01T16:44:12</v>
      </c>
      <c r="AF288" t="str">
        <f>"2024-05-25T16:44:12"</f>
        <v>2024-05-25T16:44:12</v>
      </c>
      <c r="AG288" t="s">
        <v>202</v>
      </c>
      <c r="AI288" t="s">
        <v>274</v>
      </c>
      <c r="AJ288" t="s">
        <v>348</v>
      </c>
      <c r="AK288" t="s">
        <v>253</v>
      </c>
      <c r="AL288" t="s">
        <v>206</v>
      </c>
      <c r="AN288" t="s">
        <v>254</v>
      </c>
      <c r="AO288">
        <v>1</v>
      </c>
      <c r="AP288" t="s">
        <v>208</v>
      </c>
      <c r="AQ288" t="s">
        <v>209</v>
      </c>
      <c r="AR288" t="s">
        <v>210</v>
      </c>
      <c r="AW288" t="s">
        <v>206</v>
      </c>
      <c r="AX288" t="s">
        <v>211</v>
      </c>
      <c r="AZ288" t="s">
        <v>209</v>
      </c>
      <c r="BI288" t="s">
        <v>212</v>
      </c>
      <c r="BJ288" t="s">
        <v>213</v>
      </c>
      <c r="BK288" t="s">
        <v>214</v>
      </c>
      <c r="BL288" t="s">
        <v>357</v>
      </c>
      <c r="BN288" t="s">
        <v>216</v>
      </c>
      <c r="BO288" t="s">
        <v>209</v>
      </c>
      <c r="BP288" t="s">
        <v>241</v>
      </c>
      <c r="BQ288">
        <v>4</v>
      </c>
      <c r="BS288" t="s">
        <v>219</v>
      </c>
      <c r="BT288" t="s">
        <v>220</v>
      </c>
      <c r="BU288" t="s">
        <v>206</v>
      </c>
      <c r="BX288" t="s">
        <v>221</v>
      </c>
      <c r="BY288" t="s">
        <v>221</v>
      </c>
      <c r="CA288" t="s">
        <v>222</v>
      </c>
      <c r="CB288" t="s">
        <v>223</v>
      </c>
      <c r="CC288" t="s">
        <v>301</v>
      </c>
      <c r="CD288" t="s">
        <v>223</v>
      </c>
      <c r="CE288" t="s">
        <v>242</v>
      </c>
      <c r="CJ288" t="s">
        <v>206</v>
      </c>
      <c r="CK288" t="s">
        <v>230</v>
      </c>
      <c r="CL288" t="s">
        <v>231</v>
      </c>
      <c r="CM288" t="s">
        <v>232</v>
      </c>
      <c r="CN288" t="s">
        <v>233</v>
      </c>
      <c r="CP288" t="s">
        <v>212</v>
      </c>
      <c r="CQ288" t="s">
        <v>212</v>
      </c>
      <c r="CR288" t="s">
        <v>212</v>
      </c>
      <c r="CS288" t="s">
        <v>212</v>
      </c>
      <c r="CY288" t="s">
        <v>212</v>
      </c>
      <c r="DB288" t="s">
        <v>234</v>
      </c>
      <c r="DE288" t="s">
        <v>212</v>
      </c>
      <c r="DF288" t="s">
        <v>212</v>
      </c>
      <c r="DG288" t="s">
        <v>235</v>
      </c>
      <c r="DH288" t="s">
        <v>212</v>
      </c>
      <c r="DJ288" t="s">
        <v>421</v>
      </c>
      <c r="DK288" t="s">
        <v>992</v>
      </c>
      <c r="DM288" t="s">
        <v>212</v>
      </c>
    </row>
    <row r="289" spans="1:184" x14ac:dyDescent="0.3">
      <c r="A289">
        <v>13267475</v>
      </c>
      <c r="B289">
        <v>764540</v>
      </c>
      <c r="C289" t="str">
        <f>"140406602843"</f>
        <v>140406602843</v>
      </c>
      <c r="D289" t="s">
        <v>1073</v>
      </c>
      <c r="E289" t="s">
        <v>883</v>
      </c>
      <c r="F289" t="s">
        <v>1074</v>
      </c>
      <c r="G289" s="1">
        <v>41735</v>
      </c>
      <c r="I289" t="s">
        <v>199</v>
      </c>
      <c r="J289" t="s">
        <v>200</v>
      </c>
      <c r="K289" t="s">
        <v>201</v>
      </c>
      <c r="Q289" t="s">
        <v>212</v>
      </c>
      <c r="R289" t="str">
        <f>"КАЗАХСТАН, АКМОЛИНСКАЯ, СТЕПНОГОРСК, 15, 81"</f>
        <v>КАЗАХСТАН, АКМОЛИНСКАЯ, СТЕПНОГОРСК, 15, 81</v>
      </c>
      <c r="S289" t="str">
        <f>"ҚАЗАҚСТАН, АҚМОЛА, СТЕПНОГОР, 15, 81"</f>
        <v>ҚАЗАҚСТАН, АҚМОЛА, СТЕПНОГОР, 15, 81</v>
      </c>
      <c r="T289" t="str">
        <f>"15, 81"</f>
        <v>15, 81</v>
      </c>
      <c r="U289" t="str">
        <f>"15, 81"</f>
        <v>15, 81</v>
      </c>
      <c r="AC289" t="str">
        <f>"2019-08-29T00:00:00"</f>
        <v>2019-08-29T00:00:00</v>
      </c>
      <c r="AD289" t="str">
        <f>"169"</f>
        <v>169</v>
      </c>
      <c r="AG289" t="s">
        <v>202</v>
      </c>
      <c r="AI289" t="s">
        <v>299</v>
      </c>
      <c r="AJ289" t="s">
        <v>501</v>
      </c>
      <c r="AK289" t="s">
        <v>253</v>
      </c>
      <c r="AL289" t="s">
        <v>206</v>
      </c>
      <c r="AN289" t="s">
        <v>254</v>
      </c>
      <c r="AO289">
        <v>1</v>
      </c>
      <c r="AP289" t="s">
        <v>208</v>
      </c>
      <c r="AQ289" t="s">
        <v>209</v>
      </c>
      <c r="AR289" t="s">
        <v>502</v>
      </c>
      <c r="AW289" t="s">
        <v>212</v>
      </c>
      <c r="AZ289" t="s">
        <v>209</v>
      </c>
      <c r="BI289" t="s">
        <v>212</v>
      </c>
      <c r="BJ289" t="s">
        <v>213</v>
      </c>
      <c r="BK289" t="s">
        <v>214</v>
      </c>
      <c r="BL289" t="s">
        <v>357</v>
      </c>
      <c r="BN289" t="s">
        <v>216</v>
      </c>
      <c r="BO289" t="s">
        <v>209</v>
      </c>
      <c r="BP289" t="s">
        <v>241</v>
      </c>
      <c r="BQ289">
        <v>4</v>
      </c>
      <c r="BS289" t="s">
        <v>219</v>
      </c>
      <c r="BT289" t="s">
        <v>220</v>
      </c>
      <c r="BU289" t="s">
        <v>206</v>
      </c>
      <c r="BX289" t="s">
        <v>221</v>
      </c>
      <c r="BY289" t="s">
        <v>221</v>
      </c>
      <c r="BZ289" t="s">
        <v>503</v>
      </c>
      <c r="CA289" t="s">
        <v>287</v>
      </c>
      <c r="CC289" t="s">
        <v>222</v>
      </c>
      <c r="CD289" t="s">
        <v>223</v>
      </c>
      <c r="CE289" t="s">
        <v>242</v>
      </c>
      <c r="CJ289" t="s">
        <v>206</v>
      </c>
      <c r="CK289" t="s">
        <v>230</v>
      </c>
      <c r="CL289" t="s">
        <v>231</v>
      </c>
      <c r="CM289" t="s">
        <v>232</v>
      </c>
      <c r="CN289" t="s">
        <v>233</v>
      </c>
      <c r="CP289" t="s">
        <v>212</v>
      </c>
      <c r="CQ289" t="s">
        <v>212</v>
      </c>
      <c r="CR289" t="s">
        <v>212</v>
      </c>
      <c r="CS289" t="s">
        <v>212</v>
      </c>
      <c r="CY289" t="s">
        <v>212</v>
      </c>
      <c r="DB289" t="s">
        <v>234</v>
      </c>
      <c r="DE289" t="s">
        <v>212</v>
      </c>
      <c r="DF289" t="s">
        <v>212</v>
      </c>
      <c r="DG289" t="s">
        <v>235</v>
      </c>
      <c r="DH289" t="s">
        <v>212</v>
      </c>
      <c r="DJ289" t="s">
        <v>236</v>
      </c>
      <c r="DM289" t="s">
        <v>212</v>
      </c>
    </row>
    <row r="290" spans="1:184" x14ac:dyDescent="0.3">
      <c r="A290">
        <v>24763581</v>
      </c>
      <c r="B290">
        <v>12754063</v>
      </c>
      <c r="C290" t="str">
        <f>"170515603146"</f>
        <v>170515603146</v>
      </c>
      <c r="D290" t="s">
        <v>491</v>
      </c>
      <c r="E290" t="s">
        <v>1075</v>
      </c>
      <c r="G290" s="1">
        <v>42870</v>
      </c>
      <c r="I290" t="s">
        <v>199</v>
      </c>
      <c r="J290" t="s">
        <v>200</v>
      </c>
      <c r="K290" t="s">
        <v>201</v>
      </c>
      <c r="Q290" t="s">
        <v>212</v>
      </c>
      <c r="R290" t="str">
        <f>"КАЗАХСТАН, АКМОЛИНСКАЯ, СТЕПНОГОРСК, -, 3, 25"</f>
        <v>КАЗАХСТАН, АКМОЛИНСКАЯ, СТЕПНОГОРСК, -, 3, 25</v>
      </c>
      <c r="S290" t="str">
        <f>"ҚАЗАҚСТАН, АҚМОЛА, СТЕПНОГОР, -, 3, 25"</f>
        <v>ҚАЗАҚСТАН, АҚМОЛА, СТЕПНОГОР, -, 3, 25</v>
      </c>
      <c r="T290" t="str">
        <f>"-, 3, 25"</f>
        <v>-, 3, 25</v>
      </c>
      <c r="U290" t="str">
        <f>"-, 3, 25"</f>
        <v>-, 3, 25</v>
      </c>
      <c r="AC290" t="str">
        <f>"2023-08-25T00:00:00"</f>
        <v>2023-08-25T00:00:00</v>
      </c>
      <c r="AD290" t="str">
        <f>"201"</f>
        <v>201</v>
      </c>
      <c r="AG290" t="s">
        <v>202</v>
      </c>
      <c r="AI290" t="s">
        <v>299</v>
      </c>
      <c r="AJ290" t="s">
        <v>660</v>
      </c>
      <c r="AK290" t="s">
        <v>434</v>
      </c>
      <c r="AL290" t="s">
        <v>206</v>
      </c>
      <c r="AN290" t="s">
        <v>254</v>
      </c>
      <c r="AO290">
        <v>1</v>
      </c>
      <c r="AP290" t="s">
        <v>208</v>
      </c>
      <c r="AQ290" t="s">
        <v>209</v>
      </c>
      <c r="AR290" t="s">
        <v>502</v>
      </c>
      <c r="AW290" t="s">
        <v>212</v>
      </c>
      <c r="AZ290" t="s">
        <v>209</v>
      </c>
      <c r="BI290" t="s">
        <v>212</v>
      </c>
      <c r="BJ290" t="s">
        <v>213</v>
      </c>
      <c r="BK290" t="s">
        <v>214</v>
      </c>
      <c r="BL290" t="s">
        <v>357</v>
      </c>
      <c r="BN290" t="s">
        <v>661</v>
      </c>
      <c r="BO290" t="s">
        <v>209</v>
      </c>
      <c r="BS290" t="s">
        <v>220</v>
      </c>
      <c r="BU290" t="s">
        <v>212</v>
      </c>
      <c r="BZ290" t="s">
        <v>662</v>
      </c>
      <c r="CA290" t="s">
        <v>287</v>
      </c>
      <c r="CC290" t="s">
        <v>209</v>
      </c>
      <c r="CE290" t="s">
        <v>242</v>
      </c>
      <c r="CJ290" t="s">
        <v>206</v>
      </c>
      <c r="CK290" t="s">
        <v>230</v>
      </c>
      <c r="CL290" t="s">
        <v>231</v>
      </c>
      <c r="CM290" t="s">
        <v>232</v>
      </c>
      <c r="CN290" t="s">
        <v>233</v>
      </c>
      <c r="CP290" t="s">
        <v>212</v>
      </c>
      <c r="CQ290" t="s">
        <v>212</v>
      </c>
      <c r="CR290" t="s">
        <v>212</v>
      </c>
      <c r="CS290" t="s">
        <v>212</v>
      </c>
      <c r="CY290" t="s">
        <v>212</v>
      </c>
      <c r="DB290" t="s">
        <v>234</v>
      </c>
      <c r="DE290" t="s">
        <v>212</v>
      </c>
      <c r="DF290" t="s">
        <v>212</v>
      </c>
      <c r="DG290" t="s">
        <v>235</v>
      </c>
      <c r="DH290" t="s">
        <v>212</v>
      </c>
      <c r="DJ290" t="s">
        <v>236</v>
      </c>
      <c r="DM290" t="s">
        <v>206</v>
      </c>
      <c r="GB290" t="s">
        <v>206</v>
      </c>
    </row>
    <row r="291" spans="1:184" x14ac:dyDescent="0.3">
      <c r="A291">
        <v>13267208</v>
      </c>
      <c r="B291">
        <v>840014</v>
      </c>
      <c r="C291" t="str">
        <f>"131215501405"</f>
        <v>131215501405</v>
      </c>
      <c r="D291" t="s">
        <v>1076</v>
      </c>
      <c r="E291" t="s">
        <v>1077</v>
      </c>
      <c r="F291" t="s">
        <v>1078</v>
      </c>
      <c r="G291" s="1">
        <v>41623</v>
      </c>
      <c r="I291" t="s">
        <v>240</v>
      </c>
      <c r="J291" t="s">
        <v>200</v>
      </c>
      <c r="K291" t="s">
        <v>201</v>
      </c>
      <c r="Q291" t="s">
        <v>212</v>
      </c>
      <c r="R291" t="str">
        <f>"КАЗАХСТАН, АКМОЛИНСКАЯ, СТЕПНОГОРСК, 11, 106"</f>
        <v>КАЗАХСТАН, АКМОЛИНСКАЯ, СТЕПНОГОРСК, 11, 106</v>
      </c>
      <c r="S291" t="str">
        <f>"ҚАЗАҚСТАН, АҚМОЛА, СТЕПНОГОР, 11, 106"</f>
        <v>ҚАЗАҚСТАН, АҚМОЛА, СТЕПНОГОР, 11, 106</v>
      </c>
      <c r="T291" t="str">
        <f>"11, 106"</f>
        <v>11, 106</v>
      </c>
      <c r="U291" t="str">
        <f>"11, 106"</f>
        <v>11, 106</v>
      </c>
      <c r="AC291" t="str">
        <f>"2019-08-29T00:00:00"</f>
        <v>2019-08-29T00:00:00</v>
      </c>
      <c r="AD291" t="str">
        <f>"160"</f>
        <v>160</v>
      </c>
      <c r="AE291" t="str">
        <f>"2023-09-01T23:35:40"</f>
        <v>2023-09-01T23:35:40</v>
      </c>
      <c r="AF291" t="str">
        <f>"2024-05-25T23:35:40"</f>
        <v>2024-05-25T23:35:40</v>
      </c>
      <c r="AG291" t="s">
        <v>202</v>
      </c>
      <c r="AI291" t="s">
        <v>299</v>
      </c>
      <c r="AJ291" t="s">
        <v>501</v>
      </c>
      <c r="AK291" t="s">
        <v>253</v>
      </c>
      <c r="AL291" t="s">
        <v>206</v>
      </c>
      <c r="AN291" t="s">
        <v>254</v>
      </c>
      <c r="AO291">
        <v>1</v>
      </c>
      <c r="AP291" t="s">
        <v>208</v>
      </c>
      <c r="AQ291" t="s">
        <v>209</v>
      </c>
      <c r="AR291" t="s">
        <v>502</v>
      </c>
      <c r="AW291" t="s">
        <v>212</v>
      </c>
      <c r="AZ291" t="s">
        <v>209</v>
      </c>
      <c r="BI291" t="s">
        <v>212</v>
      </c>
      <c r="BJ291" t="s">
        <v>213</v>
      </c>
      <c r="BK291" t="s">
        <v>214</v>
      </c>
      <c r="BL291" t="s">
        <v>357</v>
      </c>
      <c r="BN291" t="s">
        <v>216</v>
      </c>
      <c r="BO291" t="s">
        <v>209</v>
      </c>
      <c r="BP291" t="s">
        <v>241</v>
      </c>
      <c r="BQ291">
        <v>4</v>
      </c>
      <c r="BS291" t="s">
        <v>219</v>
      </c>
      <c r="BT291" t="s">
        <v>220</v>
      </c>
      <c r="BU291" t="s">
        <v>206</v>
      </c>
      <c r="BX291" t="s">
        <v>221</v>
      </c>
      <c r="BY291" t="s">
        <v>221</v>
      </c>
      <c r="BZ291" t="s">
        <v>503</v>
      </c>
      <c r="CA291" t="s">
        <v>287</v>
      </c>
      <c r="CC291" t="s">
        <v>222</v>
      </c>
      <c r="CD291" t="s">
        <v>223</v>
      </c>
      <c r="CE291" t="s">
        <v>242</v>
      </c>
      <c r="CJ291" t="s">
        <v>206</v>
      </c>
      <c r="CK291" t="s">
        <v>230</v>
      </c>
      <c r="CL291" t="s">
        <v>231</v>
      </c>
      <c r="CM291" t="s">
        <v>232</v>
      </c>
      <c r="CN291" t="s">
        <v>233</v>
      </c>
      <c r="CP291" t="s">
        <v>212</v>
      </c>
      <c r="CQ291" t="s">
        <v>212</v>
      </c>
      <c r="CR291" t="s">
        <v>212</v>
      </c>
      <c r="CS291" t="s">
        <v>212</v>
      </c>
      <c r="CY291" t="s">
        <v>212</v>
      </c>
      <c r="DB291" t="s">
        <v>234</v>
      </c>
      <c r="DE291" t="s">
        <v>212</v>
      </c>
      <c r="DF291" t="s">
        <v>212</v>
      </c>
      <c r="DG291" t="s">
        <v>235</v>
      </c>
      <c r="DH291" t="s">
        <v>212</v>
      </c>
      <c r="DJ291" t="s">
        <v>236</v>
      </c>
      <c r="DM291" t="s">
        <v>212</v>
      </c>
    </row>
    <row r="292" spans="1:184" x14ac:dyDescent="0.3">
      <c r="A292">
        <v>24765651</v>
      </c>
      <c r="B292">
        <v>8925864</v>
      </c>
      <c r="C292" t="str">
        <f>"170118502649"</f>
        <v>170118502649</v>
      </c>
      <c r="D292" t="s">
        <v>1079</v>
      </c>
      <c r="E292" t="s">
        <v>793</v>
      </c>
      <c r="F292" t="s">
        <v>521</v>
      </c>
      <c r="G292" s="1">
        <v>42753</v>
      </c>
      <c r="I292" t="s">
        <v>240</v>
      </c>
      <c r="J292" t="s">
        <v>200</v>
      </c>
      <c r="K292" t="s">
        <v>260</v>
      </c>
      <c r="Q292" t="s">
        <v>212</v>
      </c>
      <c r="R292" t="str">
        <f>"КАЗАХСТАН, АКМОЛИНСКАЯ, СТЕПНОГОРСК, 31, 17"</f>
        <v>КАЗАХСТАН, АКМОЛИНСКАЯ, СТЕПНОГОРСК, 31, 17</v>
      </c>
      <c r="S292" t="str">
        <f>"ҚАЗАҚСТАН, АҚМОЛА, СТЕПНОГОР, 31, 17"</f>
        <v>ҚАЗАҚСТАН, АҚМОЛА, СТЕПНОГОР, 31, 17</v>
      </c>
      <c r="T292" t="str">
        <f>"31, 17"</f>
        <v>31, 17</v>
      </c>
      <c r="U292" t="str">
        <f>"31, 17"</f>
        <v>31, 17</v>
      </c>
      <c r="AC292" t="str">
        <f>"2023-08-25T00:00:00"</f>
        <v>2023-08-25T00:00:00</v>
      </c>
      <c r="AD292" t="str">
        <f>"201"</f>
        <v>201</v>
      </c>
      <c r="AG292" t="s">
        <v>202</v>
      </c>
      <c r="AI292" t="s">
        <v>299</v>
      </c>
      <c r="AJ292" t="s">
        <v>660</v>
      </c>
      <c r="AK292" t="s">
        <v>205</v>
      </c>
      <c r="AL292" t="s">
        <v>206</v>
      </c>
      <c r="AN292" t="s">
        <v>207</v>
      </c>
      <c r="AO292">
        <v>1</v>
      </c>
      <c r="AP292" t="s">
        <v>208</v>
      </c>
      <c r="AQ292" t="s">
        <v>209</v>
      </c>
      <c r="AR292" t="s">
        <v>502</v>
      </c>
      <c r="AW292" t="s">
        <v>212</v>
      </c>
      <c r="AZ292" t="s">
        <v>209</v>
      </c>
      <c r="BI292" t="s">
        <v>212</v>
      </c>
      <c r="BJ292" t="s">
        <v>213</v>
      </c>
      <c r="BK292" t="s">
        <v>214</v>
      </c>
      <c r="BL292" t="s">
        <v>357</v>
      </c>
      <c r="BN292" t="s">
        <v>661</v>
      </c>
      <c r="BO292" t="s">
        <v>209</v>
      </c>
      <c r="BS292" t="s">
        <v>220</v>
      </c>
      <c r="BU292" t="s">
        <v>212</v>
      </c>
      <c r="BZ292" t="s">
        <v>662</v>
      </c>
      <c r="CA292" t="s">
        <v>287</v>
      </c>
      <c r="CC292" t="s">
        <v>209</v>
      </c>
      <c r="CE292" t="s">
        <v>242</v>
      </c>
      <c r="CJ292" t="s">
        <v>206</v>
      </c>
      <c r="CK292" t="s">
        <v>230</v>
      </c>
      <c r="CL292" t="s">
        <v>231</v>
      </c>
      <c r="CM292" t="s">
        <v>232</v>
      </c>
      <c r="CN292" t="s">
        <v>233</v>
      </c>
      <c r="CP292" t="s">
        <v>212</v>
      </c>
      <c r="CQ292" t="s">
        <v>212</v>
      </c>
      <c r="CR292" t="s">
        <v>212</v>
      </c>
      <c r="CS292" t="s">
        <v>212</v>
      </c>
      <c r="CY292" t="s">
        <v>212</v>
      </c>
      <c r="DB292" t="s">
        <v>234</v>
      </c>
      <c r="DE292" t="s">
        <v>212</v>
      </c>
      <c r="DF292" t="s">
        <v>212</v>
      </c>
      <c r="DG292" t="s">
        <v>235</v>
      </c>
      <c r="DH292" t="s">
        <v>212</v>
      </c>
      <c r="DJ292" t="s">
        <v>236</v>
      </c>
      <c r="DM292" t="s">
        <v>212</v>
      </c>
      <c r="GB292" t="s">
        <v>206</v>
      </c>
    </row>
    <row r="293" spans="1:184" x14ac:dyDescent="0.3">
      <c r="A293">
        <v>13266611</v>
      </c>
      <c r="B293">
        <v>838485</v>
      </c>
      <c r="C293" t="str">
        <f>"130912501154"</f>
        <v>130912501154</v>
      </c>
      <c r="D293" t="s">
        <v>1080</v>
      </c>
      <c r="E293" t="s">
        <v>1081</v>
      </c>
      <c r="F293" t="s">
        <v>1082</v>
      </c>
      <c r="G293" s="1">
        <v>41529</v>
      </c>
      <c r="I293" t="s">
        <v>240</v>
      </c>
      <c r="J293" t="s">
        <v>200</v>
      </c>
      <c r="K293" t="s">
        <v>201</v>
      </c>
      <c r="Q293" t="s">
        <v>212</v>
      </c>
      <c r="R293" t="str">
        <f>"КАЗАХСТАН, АКМОЛИНСКАЯ, СТЕПНОГОРСК, 27, 76"</f>
        <v>КАЗАХСТАН, АКМОЛИНСКАЯ, СТЕПНОГОРСК, 27, 76</v>
      </c>
      <c r="S293" t="str">
        <f>"ҚАЗАҚСТАН, АҚМОЛА, СТЕПНОГОР, 27, 76"</f>
        <v>ҚАЗАҚСТАН, АҚМОЛА, СТЕПНОГОР, 27, 76</v>
      </c>
      <c r="T293" t="str">
        <f>"27, 76"</f>
        <v>27, 76</v>
      </c>
      <c r="U293" t="str">
        <f>"27, 76"</f>
        <v>27, 76</v>
      </c>
      <c r="AC293" t="str">
        <f>"2019-08-29T00:00:00"</f>
        <v>2019-08-29T00:00:00</v>
      </c>
      <c r="AD293" t="str">
        <f>"160"</f>
        <v>160</v>
      </c>
      <c r="AG293" t="s">
        <v>202</v>
      </c>
      <c r="AI293" t="s">
        <v>299</v>
      </c>
      <c r="AJ293" t="s">
        <v>501</v>
      </c>
      <c r="AK293" t="s">
        <v>205</v>
      </c>
      <c r="AL293" t="s">
        <v>206</v>
      </c>
      <c r="AN293" t="s">
        <v>207</v>
      </c>
      <c r="AO293">
        <v>1</v>
      </c>
      <c r="AP293" t="s">
        <v>208</v>
      </c>
      <c r="AQ293" t="s">
        <v>209</v>
      </c>
      <c r="AR293" t="s">
        <v>502</v>
      </c>
      <c r="AW293" t="s">
        <v>212</v>
      </c>
      <c r="AZ293" t="s">
        <v>209</v>
      </c>
      <c r="BI293" t="s">
        <v>212</v>
      </c>
      <c r="BJ293" t="s">
        <v>213</v>
      </c>
      <c r="BK293" t="s">
        <v>214</v>
      </c>
      <c r="BL293" t="s">
        <v>357</v>
      </c>
      <c r="BN293" t="s">
        <v>247</v>
      </c>
      <c r="BO293" t="s">
        <v>209</v>
      </c>
      <c r="BP293" t="s">
        <v>241</v>
      </c>
      <c r="BQ293">
        <v>3</v>
      </c>
      <c r="BS293" t="s">
        <v>219</v>
      </c>
      <c r="BT293" t="s">
        <v>220</v>
      </c>
      <c r="BU293" t="s">
        <v>206</v>
      </c>
      <c r="BX293" t="s">
        <v>221</v>
      </c>
      <c r="BY293" t="s">
        <v>221</v>
      </c>
      <c r="BZ293" t="s">
        <v>503</v>
      </c>
      <c r="CA293" t="s">
        <v>287</v>
      </c>
      <c r="CC293" t="s">
        <v>222</v>
      </c>
      <c r="CD293" t="s">
        <v>223</v>
      </c>
      <c r="CE293" t="s">
        <v>242</v>
      </c>
      <c r="CJ293" t="s">
        <v>206</v>
      </c>
      <c r="CK293" t="s">
        <v>230</v>
      </c>
      <c r="CL293" t="s">
        <v>231</v>
      </c>
      <c r="CM293" t="s">
        <v>232</v>
      </c>
      <c r="CN293" t="s">
        <v>233</v>
      </c>
      <c r="CP293" t="s">
        <v>212</v>
      </c>
      <c r="CQ293" t="s">
        <v>212</v>
      </c>
      <c r="CR293" t="s">
        <v>212</v>
      </c>
      <c r="CS293" t="s">
        <v>212</v>
      </c>
      <c r="CY293" t="s">
        <v>212</v>
      </c>
      <c r="DB293" t="s">
        <v>234</v>
      </c>
      <c r="DE293" t="s">
        <v>212</v>
      </c>
      <c r="DF293" t="s">
        <v>212</v>
      </c>
      <c r="DG293" t="s">
        <v>235</v>
      </c>
      <c r="DH293" t="s">
        <v>212</v>
      </c>
      <c r="DJ293" t="s">
        <v>236</v>
      </c>
      <c r="DM293" t="s">
        <v>212</v>
      </c>
    </row>
    <row r="294" spans="1:184" x14ac:dyDescent="0.3">
      <c r="A294">
        <v>13266363</v>
      </c>
      <c r="B294">
        <v>839945</v>
      </c>
      <c r="C294" t="str">
        <f>"140331501663"</f>
        <v>140331501663</v>
      </c>
      <c r="D294" t="s">
        <v>1083</v>
      </c>
      <c r="E294" t="s">
        <v>944</v>
      </c>
      <c r="F294" t="s">
        <v>1084</v>
      </c>
      <c r="G294" s="1">
        <v>41729</v>
      </c>
      <c r="I294" t="s">
        <v>240</v>
      </c>
      <c r="J294" t="s">
        <v>200</v>
      </c>
      <c r="K294" t="s">
        <v>201</v>
      </c>
      <c r="R294" t="str">
        <f>"КАЗАХСТАН, АКМОЛИНСКАЯ, СТЕПНОГОРСК, 10, 40"</f>
        <v>КАЗАХСТАН, АКМОЛИНСКАЯ, СТЕПНОГОРСК, 10, 40</v>
      </c>
      <c r="S294" t="str">
        <f>"ҚАЗАҚСТАН, АҚМОЛА, СТЕПНОГОР, 10, 40"</f>
        <v>ҚАЗАҚСТАН, АҚМОЛА, СТЕПНОГОР, 10, 40</v>
      </c>
      <c r="T294" t="str">
        <f>"10, 40"</f>
        <v>10, 40</v>
      </c>
      <c r="U294" t="str">
        <f>"10, 40"</f>
        <v>10, 40</v>
      </c>
      <c r="AC294" t="str">
        <f>"2019-08-29T00:00:00"</f>
        <v>2019-08-29T00:00:00</v>
      </c>
      <c r="AD294" t="str">
        <f>"160"</f>
        <v>160</v>
      </c>
      <c r="AG294" t="s">
        <v>202</v>
      </c>
      <c r="AI294" t="s">
        <v>299</v>
      </c>
      <c r="AJ294" t="s">
        <v>501</v>
      </c>
      <c r="AK294" t="s">
        <v>253</v>
      </c>
      <c r="AL294" t="s">
        <v>206</v>
      </c>
      <c r="AN294" t="s">
        <v>254</v>
      </c>
      <c r="AO294">
        <v>1</v>
      </c>
      <c r="AP294" t="s">
        <v>208</v>
      </c>
      <c r="AQ294" t="s">
        <v>209</v>
      </c>
      <c r="AR294" t="s">
        <v>502</v>
      </c>
      <c r="AW294" t="s">
        <v>212</v>
      </c>
      <c r="AZ294" t="s">
        <v>209</v>
      </c>
      <c r="BI294" t="s">
        <v>212</v>
      </c>
      <c r="BJ294" t="s">
        <v>213</v>
      </c>
      <c r="BK294" t="s">
        <v>214</v>
      </c>
      <c r="BL294" t="s">
        <v>357</v>
      </c>
      <c r="BN294" t="s">
        <v>281</v>
      </c>
      <c r="BO294" t="s">
        <v>209</v>
      </c>
      <c r="BP294" t="s">
        <v>241</v>
      </c>
      <c r="BQ294">
        <v>5</v>
      </c>
      <c r="BS294" t="s">
        <v>219</v>
      </c>
      <c r="BT294" t="s">
        <v>220</v>
      </c>
      <c r="BU294" t="s">
        <v>206</v>
      </c>
      <c r="BX294" t="s">
        <v>221</v>
      </c>
      <c r="BY294" t="s">
        <v>221</v>
      </c>
      <c r="BZ294" t="s">
        <v>503</v>
      </c>
      <c r="CA294" t="s">
        <v>287</v>
      </c>
      <c r="CC294" t="s">
        <v>222</v>
      </c>
      <c r="CD294" t="s">
        <v>223</v>
      </c>
      <c r="CE294" t="s">
        <v>242</v>
      </c>
      <c r="CJ294" t="s">
        <v>206</v>
      </c>
      <c r="CK294" t="s">
        <v>230</v>
      </c>
      <c r="CL294" t="s">
        <v>231</v>
      </c>
      <c r="CM294" t="s">
        <v>232</v>
      </c>
      <c r="CN294" t="s">
        <v>233</v>
      </c>
      <c r="CP294" t="s">
        <v>212</v>
      </c>
      <c r="CQ294" t="s">
        <v>212</v>
      </c>
      <c r="CR294" t="s">
        <v>212</v>
      </c>
      <c r="CS294" t="s">
        <v>212</v>
      </c>
      <c r="CY294" t="s">
        <v>212</v>
      </c>
      <c r="DB294" t="s">
        <v>234</v>
      </c>
      <c r="DE294" t="s">
        <v>212</v>
      </c>
      <c r="DF294" t="s">
        <v>212</v>
      </c>
      <c r="DG294" t="s">
        <v>235</v>
      </c>
      <c r="DH294" t="s">
        <v>212</v>
      </c>
      <c r="DJ294" t="s">
        <v>236</v>
      </c>
      <c r="DM294" t="s">
        <v>212</v>
      </c>
    </row>
    <row r="295" spans="1:184" x14ac:dyDescent="0.3">
      <c r="A295">
        <v>13265951</v>
      </c>
      <c r="B295">
        <v>839977</v>
      </c>
      <c r="C295" t="str">
        <f>"140324601780"</f>
        <v>140324601780</v>
      </c>
      <c r="D295" t="s">
        <v>1085</v>
      </c>
      <c r="E295" t="s">
        <v>1086</v>
      </c>
      <c r="F295" t="s">
        <v>1087</v>
      </c>
      <c r="G295" s="1">
        <v>41722</v>
      </c>
      <c r="I295" t="s">
        <v>199</v>
      </c>
      <c r="J295" t="s">
        <v>200</v>
      </c>
      <c r="K295" t="s">
        <v>201</v>
      </c>
      <c r="R295" t="str">
        <f>"КАЗАХСТАН, АКМОЛИНСКАЯ, СТЕПНОГОРСК, 23, 2"</f>
        <v>КАЗАХСТАН, АКМОЛИНСКАЯ, СТЕПНОГОРСК, 23, 2</v>
      </c>
      <c r="S295" t="str">
        <f>"ҚАЗАҚСТАН, АҚМОЛА, СТЕПНОГОР, 23, 2"</f>
        <v>ҚАЗАҚСТАН, АҚМОЛА, СТЕПНОГОР, 23, 2</v>
      </c>
      <c r="T295" t="str">
        <f>"23, 2"</f>
        <v>23, 2</v>
      </c>
      <c r="U295" t="str">
        <f>"23, 2"</f>
        <v>23, 2</v>
      </c>
      <c r="AC295" t="str">
        <f>"2019-08-29T00:00:00"</f>
        <v>2019-08-29T00:00:00</v>
      </c>
      <c r="AD295" t="str">
        <f>"160"</f>
        <v>160</v>
      </c>
      <c r="AG295" t="s">
        <v>202</v>
      </c>
      <c r="AI295" t="s">
        <v>299</v>
      </c>
      <c r="AJ295" t="s">
        <v>501</v>
      </c>
      <c r="AK295" t="s">
        <v>253</v>
      </c>
      <c r="AL295" t="s">
        <v>206</v>
      </c>
      <c r="AN295" t="s">
        <v>254</v>
      </c>
      <c r="AO295">
        <v>1</v>
      </c>
      <c r="AP295" t="s">
        <v>208</v>
      </c>
      <c r="AQ295" t="s">
        <v>209</v>
      </c>
      <c r="AR295" t="s">
        <v>502</v>
      </c>
      <c r="AW295" t="s">
        <v>212</v>
      </c>
      <c r="AZ295" t="s">
        <v>209</v>
      </c>
      <c r="BI295" t="s">
        <v>212</v>
      </c>
      <c r="BJ295" t="s">
        <v>213</v>
      </c>
      <c r="BK295" t="s">
        <v>214</v>
      </c>
      <c r="BL295" t="s">
        <v>357</v>
      </c>
      <c r="BN295" t="s">
        <v>216</v>
      </c>
      <c r="BO295" t="s">
        <v>209</v>
      </c>
      <c r="BP295" t="s">
        <v>241</v>
      </c>
      <c r="BQ295">
        <v>4</v>
      </c>
      <c r="BS295" t="s">
        <v>219</v>
      </c>
      <c r="BT295" t="s">
        <v>220</v>
      </c>
      <c r="BU295" t="s">
        <v>206</v>
      </c>
      <c r="BX295" t="s">
        <v>221</v>
      </c>
      <c r="BY295" t="s">
        <v>221</v>
      </c>
      <c r="BZ295" t="s">
        <v>503</v>
      </c>
      <c r="CA295" t="s">
        <v>287</v>
      </c>
      <c r="CC295" t="s">
        <v>222</v>
      </c>
      <c r="CD295" t="s">
        <v>223</v>
      </c>
      <c r="CE295" t="s">
        <v>242</v>
      </c>
      <c r="CJ295" t="s">
        <v>206</v>
      </c>
      <c r="CK295" t="s">
        <v>230</v>
      </c>
      <c r="CL295" t="s">
        <v>231</v>
      </c>
      <c r="CM295" t="s">
        <v>232</v>
      </c>
      <c r="CN295" t="s">
        <v>233</v>
      </c>
      <c r="CP295" t="s">
        <v>212</v>
      </c>
      <c r="CQ295" t="s">
        <v>212</v>
      </c>
      <c r="CR295" t="s">
        <v>212</v>
      </c>
      <c r="CS295" t="s">
        <v>212</v>
      </c>
      <c r="CY295" t="s">
        <v>212</v>
      </c>
      <c r="DB295" t="s">
        <v>234</v>
      </c>
      <c r="DE295" t="s">
        <v>212</v>
      </c>
      <c r="DF295" t="s">
        <v>212</v>
      </c>
      <c r="DG295" t="s">
        <v>235</v>
      </c>
      <c r="DH295" t="s">
        <v>212</v>
      </c>
      <c r="DJ295" t="s">
        <v>236</v>
      </c>
      <c r="DM295" t="s">
        <v>212</v>
      </c>
    </row>
    <row r="296" spans="1:184" x14ac:dyDescent="0.3">
      <c r="A296">
        <v>24804714</v>
      </c>
      <c r="B296">
        <v>13110874</v>
      </c>
      <c r="C296" t="str">
        <f>"160610604822"</f>
        <v>160610604822</v>
      </c>
      <c r="D296" t="s">
        <v>1088</v>
      </c>
      <c r="E296" t="s">
        <v>1040</v>
      </c>
      <c r="F296" t="s">
        <v>1089</v>
      </c>
      <c r="G296" s="1">
        <v>42531</v>
      </c>
      <c r="I296" t="s">
        <v>199</v>
      </c>
      <c r="J296" t="s">
        <v>200</v>
      </c>
      <c r="K296" t="s">
        <v>374</v>
      </c>
      <c r="Q296" t="s">
        <v>212</v>
      </c>
      <c r="R296" t="str">
        <f>"КАЗАХСТАН, АКМОЛИНСКАЯ, СТЕПНОГОРСК, 68, 22"</f>
        <v>КАЗАХСТАН, АКМОЛИНСКАЯ, СТЕПНОГОРСК, 68, 22</v>
      </c>
      <c r="S296" t="str">
        <f>"ҚАЗАҚСТАН, АҚМОЛА, СТЕПНОГОР, 68, 22"</f>
        <v>ҚАЗАҚСТАН, АҚМОЛА, СТЕПНОГОР, 68, 22</v>
      </c>
      <c r="T296" t="str">
        <f>"68, 22"</f>
        <v>68, 22</v>
      </c>
      <c r="U296" t="str">
        <f>"68, 22"</f>
        <v>68, 22</v>
      </c>
      <c r="AC296" t="str">
        <f>"2023-08-25T00:00:00"</f>
        <v>2023-08-25T00:00:00</v>
      </c>
      <c r="AD296" t="str">
        <f>"201"</f>
        <v>201</v>
      </c>
      <c r="AG296" t="s">
        <v>646</v>
      </c>
      <c r="AI296" t="s">
        <v>269</v>
      </c>
      <c r="AJ296" t="s">
        <v>660</v>
      </c>
      <c r="AK296" t="s">
        <v>246</v>
      </c>
      <c r="AL296" t="s">
        <v>206</v>
      </c>
      <c r="AN296" t="s">
        <v>207</v>
      </c>
      <c r="AO296">
        <v>1</v>
      </c>
      <c r="AP296" t="s">
        <v>208</v>
      </c>
      <c r="AQ296" t="s">
        <v>209</v>
      </c>
      <c r="AR296" t="s">
        <v>502</v>
      </c>
      <c r="AW296" t="s">
        <v>212</v>
      </c>
      <c r="AZ296" t="s">
        <v>209</v>
      </c>
      <c r="BI296" t="s">
        <v>212</v>
      </c>
      <c r="BJ296" t="s">
        <v>213</v>
      </c>
      <c r="BK296" t="s">
        <v>214</v>
      </c>
      <c r="BL296" t="s">
        <v>357</v>
      </c>
      <c r="BN296" t="s">
        <v>661</v>
      </c>
      <c r="BO296" t="s">
        <v>209</v>
      </c>
      <c r="BR296" t="s">
        <v>221</v>
      </c>
      <c r="BS296" t="s">
        <v>220</v>
      </c>
      <c r="BU296" t="s">
        <v>212</v>
      </c>
      <c r="BX296" t="s">
        <v>234</v>
      </c>
      <c r="BY296" t="s">
        <v>234</v>
      </c>
      <c r="BZ296" t="s">
        <v>662</v>
      </c>
      <c r="CA296" t="s">
        <v>287</v>
      </c>
      <c r="CC296" t="s">
        <v>209</v>
      </c>
      <c r="CE296" t="s">
        <v>242</v>
      </c>
      <c r="CJ296" t="s">
        <v>206</v>
      </c>
      <c r="CK296" t="s">
        <v>230</v>
      </c>
      <c r="CL296" t="s">
        <v>231</v>
      </c>
      <c r="CM296" t="s">
        <v>232</v>
      </c>
      <c r="CN296" t="s">
        <v>233</v>
      </c>
      <c r="CP296" t="s">
        <v>212</v>
      </c>
      <c r="CQ296" t="s">
        <v>212</v>
      </c>
      <c r="CR296" t="s">
        <v>212</v>
      </c>
      <c r="CS296" t="s">
        <v>212</v>
      </c>
      <c r="CY296" t="s">
        <v>212</v>
      </c>
      <c r="DB296" t="s">
        <v>234</v>
      </c>
      <c r="DE296" t="s">
        <v>212</v>
      </c>
      <c r="DF296" t="s">
        <v>212</v>
      </c>
      <c r="DG296" t="s">
        <v>235</v>
      </c>
      <c r="DH296" t="s">
        <v>212</v>
      </c>
      <c r="DJ296" t="s">
        <v>236</v>
      </c>
      <c r="DM296" t="s">
        <v>212</v>
      </c>
      <c r="GB296" t="s">
        <v>206</v>
      </c>
    </row>
    <row r="297" spans="1:184" x14ac:dyDescent="0.3">
      <c r="A297">
        <v>13264716</v>
      </c>
      <c r="B297">
        <v>920824</v>
      </c>
      <c r="C297" t="str">
        <f>"140725502019"</f>
        <v>140725502019</v>
      </c>
      <c r="D297" t="s">
        <v>1090</v>
      </c>
      <c r="E297" t="s">
        <v>1091</v>
      </c>
      <c r="F297" t="s">
        <v>1092</v>
      </c>
      <c r="G297" s="1">
        <v>41845</v>
      </c>
      <c r="I297" t="s">
        <v>240</v>
      </c>
      <c r="J297" t="s">
        <v>200</v>
      </c>
      <c r="K297" t="s">
        <v>260</v>
      </c>
      <c r="Q297" t="s">
        <v>212</v>
      </c>
      <c r="R297" t="str">
        <f>"КАЗАХСТАН, АКМОЛИНСКАЯ, СТЕПНОГОРСК, 22, 43"</f>
        <v>КАЗАХСТАН, АКМОЛИНСКАЯ, СТЕПНОГОРСК, 22, 43</v>
      </c>
      <c r="S297" t="str">
        <f>"ҚАЗАҚСТАН, АҚМОЛА, СТЕПНОГОР, 22, 43"</f>
        <v>ҚАЗАҚСТАН, АҚМОЛА, СТЕПНОГОР, 22, 43</v>
      </c>
      <c r="T297" t="str">
        <f>"22, 43"</f>
        <v>22, 43</v>
      </c>
      <c r="U297" t="str">
        <f>"22, 43"</f>
        <v>22, 43</v>
      </c>
      <c r="AC297" t="str">
        <f>"2019-08-29T00:00:00"</f>
        <v>2019-08-29T00:00:00</v>
      </c>
      <c r="AD297" t="str">
        <f>"160"</f>
        <v>160</v>
      </c>
      <c r="AG297" t="s">
        <v>202</v>
      </c>
      <c r="AI297" t="s">
        <v>269</v>
      </c>
      <c r="AJ297" t="s">
        <v>501</v>
      </c>
      <c r="AK297" t="s">
        <v>205</v>
      </c>
      <c r="AL297" t="s">
        <v>206</v>
      </c>
      <c r="AN297" t="s">
        <v>207</v>
      </c>
      <c r="AO297">
        <v>1</v>
      </c>
      <c r="AP297" t="s">
        <v>208</v>
      </c>
      <c r="AQ297" t="s">
        <v>209</v>
      </c>
      <c r="AR297" t="s">
        <v>502</v>
      </c>
      <c r="AW297" t="s">
        <v>212</v>
      </c>
      <c r="AZ297" t="s">
        <v>209</v>
      </c>
      <c r="BI297" t="s">
        <v>212</v>
      </c>
      <c r="BJ297" t="s">
        <v>213</v>
      </c>
      <c r="BK297" t="s">
        <v>214</v>
      </c>
      <c r="BL297" t="s">
        <v>357</v>
      </c>
      <c r="BN297" t="s">
        <v>216</v>
      </c>
      <c r="BO297" t="s">
        <v>209</v>
      </c>
      <c r="BP297" t="s">
        <v>241</v>
      </c>
      <c r="BQ297">
        <v>4</v>
      </c>
      <c r="BS297" t="s">
        <v>219</v>
      </c>
      <c r="BT297" t="s">
        <v>220</v>
      </c>
      <c r="BU297" t="s">
        <v>206</v>
      </c>
      <c r="BX297" t="s">
        <v>221</v>
      </c>
      <c r="BY297" t="s">
        <v>221</v>
      </c>
      <c r="BZ297" t="s">
        <v>503</v>
      </c>
      <c r="CA297" t="s">
        <v>287</v>
      </c>
      <c r="CC297" t="s">
        <v>222</v>
      </c>
      <c r="CD297" t="s">
        <v>223</v>
      </c>
      <c r="CE297" t="s">
        <v>242</v>
      </c>
      <c r="CJ297" t="s">
        <v>206</v>
      </c>
      <c r="CK297" t="s">
        <v>230</v>
      </c>
      <c r="CL297" t="s">
        <v>231</v>
      </c>
      <c r="CM297" t="s">
        <v>232</v>
      </c>
      <c r="CN297" t="s">
        <v>233</v>
      </c>
      <c r="CP297" t="s">
        <v>212</v>
      </c>
      <c r="CQ297" t="s">
        <v>212</v>
      </c>
      <c r="CR297" t="s">
        <v>212</v>
      </c>
      <c r="CS297" t="s">
        <v>212</v>
      </c>
      <c r="CY297" t="s">
        <v>212</v>
      </c>
      <c r="DB297" t="s">
        <v>234</v>
      </c>
      <c r="DE297" t="s">
        <v>212</v>
      </c>
      <c r="DF297" t="s">
        <v>212</v>
      </c>
      <c r="DG297" t="s">
        <v>235</v>
      </c>
      <c r="DH297" t="s">
        <v>212</v>
      </c>
      <c r="DJ297" t="s">
        <v>236</v>
      </c>
      <c r="DM297" t="s">
        <v>212</v>
      </c>
    </row>
    <row r="298" spans="1:184" x14ac:dyDescent="0.3">
      <c r="A298">
        <v>24805276</v>
      </c>
      <c r="B298">
        <v>184600</v>
      </c>
      <c r="C298" t="str">
        <f>"110810603018"</f>
        <v>110810603018</v>
      </c>
      <c r="D298" t="s">
        <v>1093</v>
      </c>
      <c r="E298" t="s">
        <v>996</v>
      </c>
      <c r="F298" t="s">
        <v>649</v>
      </c>
      <c r="G298" s="1">
        <v>40765</v>
      </c>
      <c r="I298" t="s">
        <v>199</v>
      </c>
      <c r="J298" t="s">
        <v>200</v>
      </c>
      <c r="K298" t="s">
        <v>201</v>
      </c>
      <c r="Q298" t="s">
        <v>212</v>
      </c>
      <c r="R298" t="str">
        <f>"КАЗАХСТАН, АКМОЛИНСКАЯ, СТЕПНОГОРСК, -, 51, 811"</f>
        <v>КАЗАХСТАН, АКМОЛИНСКАЯ, СТЕПНОГОРСК, -, 51, 811</v>
      </c>
      <c r="S298" t="str">
        <f>"ҚАЗАҚСТАН, АҚМОЛА, СТЕПНОГОР, -, 51, 811"</f>
        <v>ҚАЗАҚСТАН, АҚМОЛА, СТЕПНОГОР, -, 51, 811</v>
      </c>
      <c r="T298" t="str">
        <f>"-, 51, 811"</f>
        <v>-, 51, 811</v>
      </c>
      <c r="U298" t="str">
        <f>"-, 51, 811"</f>
        <v>-, 51, 811</v>
      </c>
      <c r="AC298" t="str">
        <f>"2022-08-25T00:00:00"</f>
        <v>2022-08-25T00:00:00</v>
      </c>
      <c r="AD298" t="str">
        <f>"114"</f>
        <v>114</v>
      </c>
      <c r="AE298" t="str">
        <f>"2023-09-01T17:27:19"</f>
        <v>2023-09-01T17:27:19</v>
      </c>
      <c r="AF298" t="str">
        <f>"2024-05-25T17:27:19"</f>
        <v>2024-05-25T17:27:19</v>
      </c>
      <c r="AG298" t="s">
        <v>202</v>
      </c>
      <c r="AI298" t="s">
        <v>274</v>
      </c>
      <c r="AJ298" t="s">
        <v>348</v>
      </c>
      <c r="AK298" t="s">
        <v>205</v>
      </c>
      <c r="AL298" t="s">
        <v>206</v>
      </c>
      <c r="AN298" t="s">
        <v>207</v>
      </c>
      <c r="AO298">
        <v>1</v>
      </c>
      <c r="AP298" t="s">
        <v>208</v>
      </c>
      <c r="AQ298" t="s">
        <v>209</v>
      </c>
      <c r="AR298" t="s">
        <v>210</v>
      </c>
      <c r="AW298" t="s">
        <v>206</v>
      </c>
      <c r="AX298" t="s">
        <v>211</v>
      </c>
      <c r="AZ298" t="s">
        <v>209</v>
      </c>
      <c r="BI298" t="s">
        <v>212</v>
      </c>
      <c r="BJ298" t="s">
        <v>213</v>
      </c>
      <c r="BK298" t="s">
        <v>214</v>
      </c>
      <c r="BL298" t="s">
        <v>215</v>
      </c>
      <c r="BN298" t="s">
        <v>247</v>
      </c>
      <c r="BO298" t="s">
        <v>209</v>
      </c>
      <c r="BP298" t="s">
        <v>241</v>
      </c>
      <c r="BQ298">
        <v>3</v>
      </c>
      <c r="BS298" t="s">
        <v>219</v>
      </c>
      <c r="BT298" t="s">
        <v>220</v>
      </c>
      <c r="BU298" t="s">
        <v>206</v>
      </c>
      <c r="CA298" t="s">
        <v>287</v>
      </c>
      <c r="CC298" t="s">
        <v>638</v>
      </c>
      <c r="CD298" t="s">
        <v>349</v>
      </c>
      <c r="CE298" t="s">
        <v>242</v>
      </c>
      <c r="CJ298" t="s">
        <v>206</v>
      </c>
      <c r="CK298" t="s">
        <v>230</v>
      </c>
      <c r="CL298" t="s">
        <v>231</v>
      </c>
      <c r="CM298" t="s">
        <v>232</v>
      </c>
      <c r="CN298" t="s">
        <v>233</v>
      </c>
      <c r="CP298" t="s">
        <v>212</v>
      </c>
      <c r="CQ298" t="s">
        <v>212</v>
      </c>
      <c r="CR298" t="s">
        <v>212</v>
      </c>
      <c r="CS298" t="s">
        <v>212</v>
      </c>
      <c r="CY298" t="s">
        <v>212</v>
      </c>
      <c r="DB298" t="s">
        <v>234</v>
      </c>
      <c r="DE298" t="s">
        <v>212</v>
      </c>
      <c r="DF298" t="s">
        <v>212</v>
      </c>
      <c r="DG298" t="s">
        <v>235</v>
      </c>
      <c r="DH298" t="s">
        <v>212</v>
      </c>
      <c r="DJ298" t="s">
        <v>236</v>
      </c>
      <c r="DM298" t="s">
        <v>212</v>
      </c>
    </row>
    <row r="299" spans="1:184" x14ac:dyDescent="0.3">
      <c r="A299">
        <v>24808099</v>
      </c>
      <c r="B299">
        <v>8887953</v>
      </c>
      <c r="C299" t="str">
        <f>"170524502438"</f>
        <v>170524502438</v>
      </c>
      <c r="D299" t="s">
        <v>1094</v>
      </c>
      <c r="E299" t="s">
        <v>1095</v>
      </c>
      <c r="F299" t="s">
        <v>1096</v>
      </c>
      <c r="G299" s="1">
        <v>42879</v>
      </c>
      <c r="I299" t="s">
        <v>240</v>
      </c>
      <c r="J299" t="s">
        <v>200</v>
      </c>
      <c r="K299" t="s">
        <v>201</v>
      </c>
      <c r="Q299" t="s">
        <v>212</v>
      </c>
      <c r="R299" t="str">
        <f>"КАЗАХСТАН, НУР-СУЛТАН, САРЫАРКА РАЙОН, 15, 2"</f>
        <v>КАЗАХСТАН, НУР-СУЛТАН, САРЫАРКА РАЙОН, 15, 2</v>
      </c>
      <c r="S299" t="str">
        <f>"ҚАЗАҚСТАН, НҰР-СҰЛТАН, САРЫАРҚА АУДАНЫ, 15, 2"</f>
        <v>ҚАЗАҚСТАН, НҰР-СҰЛТАН, САРЫАРҚА АУДАНЫ, 15, 2</v>
      </c>
      <c r="T299" t="str">
        <f>"15, 2"</f>
        <v>15, 2</v>
      </c>
      <c r="U299" t="str">
        <f>"15, 2"</f>
        <v>15, 2</v>
      </c>
      <c r="AC299" t="str">
        <f>"2023-08-25T00:00:00"</f>
        <v>2023-08-25T00:00:00</v>
      </c>
      <c r="AD299" t="str">
        <f>"201"</f>
        <v>201</v>
      </c>
      <c r="AG299" t="s">
        <v>202</v>
      </c>
      <c r="AI299" t="s">
        <v>299</v>
      </c>
      <c r="AJ299" t="s">
        <v>660</v>
      </c>
      <c r="AK299" t="s">
        <v>434</v>
      </c>
      <c r="AL299" t="s">
        <v>206</v>
      </c>
      <c r="AN299" t="s">
        <v>254</v>
      </c>
      <c r="AO299">
        <v>1</v>
      </c>
      <c r="AP299" t="s">
        <v>208</v>
      </c>
      <c r="AQ299" t="s">
        <v>209</v>
      </c>
      <c r="AR299" t="s">
        <v>502</v>
      </c>
      <c r="AW299" t="s">
        <v>212</v>
      </c>
      <c r="AZ299" t="s">
        <v>209</v>
      </c>
      <c r="BI299" t="s">
        <v>212</v>
      </c>
      <c r="BJ299" t="s">
        <v>213</v>
      </c>
      <c r="BK299" t="s">
        <v>214</v>
      </c>
      <c r="BL299" t="s">
        <v>357</v>
      </c>
      <c r="BN299" t="s">
        <v>661</v>
      </c>
      <c r="BO299" t="s">
        <v>209</v>
      </c>
      <c r="BS299" t="s">
        <v>220</v>
      </c>
      <c r="BU299" t="s">
        <v>212</v>
      </c>
      <c r="BZ299" t="s">
        <v>662</v>
      </c>
      <c r="CA299" t="s">
        <v>287</v>
      </c>
      <c r="CC299" t="s">
        <v>209</v>
      </c>
      <c r="CE299" t="s">
        <v>242</v>
      </c>
      <c r="CJ299" t="s">
        <v>206</v>
      </c>
      <c r="CK299" t="s">
        <v>230</v>
      </c>
      <c r="CL299" t="s">
        <v>231</v>
      </c>
      <c r="CM299" t="s">
        <v>232</v>
      </c>
      <c r="CN299" t="s">
        <v>233</v>
      </c>
      <c r="CP299" t="s">
        <v>212</v>
      </c>
      <c r="CQ299" t="s">
        <v>212</v>
      </c>
      <c r="CR299" t="s">
        <v>212</v>
      </c>
      <c r="CS299" t="s">
        <v>212</v>
      </c>
      <c r="CY299" t="s">
        <v>212</v>
      </c>
      <c r="DB299" t="s">
        <v>234</v>
      </c>
      <c r="DE299" t="s">
        <v>212</v>
      </c>
      <c r="DF299" t="s">
        <v>212</v>
      </c>
      <c r="DG299" t="s">
        <v>235</v>
      </c>
      <c r="DH299" t="s">
        <v>212</v>
      </c>
      <c r="DJ299" t="s">
        <v>236</v>
      </c>
      <c r="DM299" t="s">
        <v>206</v>
      </c>
      <c r="GB299" t="s">
        <v>206</v>
      </c>
    </row>
    <row r="300" spans="1:184" x14ac:dyDescent="0.3">
      <c r="A300">
        <v>13264601</v>
      </c>
      <c r="B300">
        <v>8944110</v>
      </c>
      <c r="C300" t="str">
        <f>"130601501887"</f>
        <v>130601501887</v>
      </c>
      <c r="D300" t="s">
        <v>1097</v>
      </c>
      <c r="E300" t="s">
        <v>1098</v>
      </c>
      <c r="F300" t="s">
        <v>577</v>
      </c>
      <c r="G300" s="1">
        <v>41426</v>
      </c>
      <c r="I300" t="s">
        <v>240</v>
      </c>
      <c r="J300" t="s">
        <v>200</v>
      </c>
      <c r="K300" t="s">
        <v>201</v>
      </c>
      <c r="Q300" t="s">
        <v>212</v>
      </c>
      <c r="R300" t="str">
        <f>"КАЗАХСТАН, НУР-СУЛТАН, АЛМАТЫ РАЙОН, -, 1"</f>
        <v>КАЗАХСТАН, НУР-СУЛТАН, АЛМАТЫ РАЙОН, -, 1</v>
      </c>
      <c r="S300" t="str">
        <f>"ҚАЗАҚСТАН, НҰР-СҰЛТАН, АЛМАТЫ АУДАНЫ, -, 1"</f>
        <v>ҚАЗАҚСТАН, НҰР-СҰЛТАН, АЛМАТЫ АУДАНЫ, -, 1</v>
      </c>
      <c r="T300" t="str">
        <f>"-, 1"</f>
        <v>-, 1</v>
      </c>
      <c r="U300" t="str">
        <f>"-, 1"</f>
        <v>-, 1</v>
      </c>
      <c r="AC300" t="str">
        <f>"2019-08-29T00:00:00"</f>
        <v>2019-08-29T00:00:00</v>
      </c>
      <c r="AD300" t="str">
        <f>"160"</f>
        <v>160</v>
      </c>
      <c r="AG300" t="s">
        <v>202</v>
      </c>
      <c r="AI300" t="s">
        <v>299</v>
      </c>
      <c r="AJ300" t="s">
        <v>501</v>
      </c>
      <c r="AK300" t="s">
        <v>261</v>
      </c>
      <c r="AL300" t="s">
        <v>206</v>
      </c>
      <c r="AN300" t="s">
        <v>207</v>
      </c>
      <c r="AO300">
        <v>1</v>
      </c>
      <c r="AP300" t="s">
        <v>208</v>
      </c>
      <c r="AQ300" t="s">
        <v>209</v>
      </c>
      <c r="AR300" t="s">
        <v>502</v>
      </c>
      <c r="AW300" t="s">
        <v>212</v>
      </c>
      <c r="AZ300" t="s">
        <v>209</v>
      </c>
      <c r="BI300" t="s">
        <v>212</v>
      </c>
      <c r="BJ300" t="s">
        <v>213</v>
      </c>
      <c r="BK300" t="s">
        <v>214</v>
      </c>
      <c r="BL300" t="s">
        <v>357</v>
      </c>
      <c r="BN300" t="s">
        <v>216</v>
      </c>
      <c r="BO300" t="s">
        <v>209</v>
      </c>
      <c r="BP300" t="s">
        <v>415</v>
      </c>
      <c r="BQ300" t="s">
        <v>673</v>
      </c>
      <c r="BS300" t="s">
        <v>219</v>
      </c>
      <c r="BT300" t="s">
        <v>220</v>
      </c>
      <c r="BU300" t="s">
        <v>206</v>
      </c>
      <c r="BX300" t="s">
        <v>221</v>
      </c>
      <c r="BY300" t="s">
        <v>221</v>
      </c>
      <c r="BZ300" t="s">
        <v>503</v>
      </c>
      <c r="CA300" t="s">
        <v>287</v>
      </c>
      <c r="CC300" t="s">
        <v>222</v>
      </c>
      <c r="CD300" t="s">
        <v>223</v>
      </c>
      <c r="CE300" t="s">
        <v>242</v>
      </c>
      <c r="CJ300" t="s">
        <v>206</v>
      </c>
      <c r="CK300" t="s">
        <v>230</v>
      </c>
      <c r="CL300" t="s">
        <v>231</v>
      </c>
      <c r="CM300" t="s">
        <v>232</v>
      </c>
      <c r="CN300" t="s">
        <v>233</v>
      </c>
      <c r="CP300" t="s">
        <v>212</v>
      </c>
      <c r="CQ300" t="s">
        <v>212</v>
      </c>
      <c r="CR300" t="s">
        <v>212</v>
      </c>
      <c r="CS300" t="s">
        <v>212</v>
      </c>
      <c r="CY300" t="s">
        <v>212</v>
      </c>
      <c r="DB300" t="s">
        <v>234</v>
      </c>
      <c r="DE300" t="s">
        <v>212</v>
      </c>
      <c r="DF300" t="s">
        <v>212</v>
      </c>
      <c r="DG300" t="s">
        <v>235</v>
      </c>
      <c r="DH300" t="s">
        <v>212</v>
      </c>
      <c r="DJ300" t="s">
        <v>236</v>
      </c>
      <c r="DM300" t="s">
        <v>212</v>
      </c>
    </row>
    <row r="301" spans="1:184" x14ac:dyDescent="0.3">
      <c r="A301">
        <v>13264549</v>
      </c>
      <c r="B301">
        <v>770538</v>
      </c>
      <c r="C301" t="str">
        <f>"131231603514"</f>
        <v>131231603514</v>
      </c>
      <c r="D301" t="s">
        <v>1099</v>
      </c>
      <c r="E301" t="s">
        <v>1100</v>
      </c>
      <c r="F301" t="s">
        <v>1101</v>
      </c>
      <c r="G301" s="1">
        <v>41639</v>
      </c>
      <c r="I301" t="s">
        <v>199</v>
      </c>
      <c r="J301" t="s">
        <v>200</v>
      </c>
      <c r="K301" t="s">
        <v>260</v>
      </c>
      <c r="Q301" t="s">
        <v>212</v>
      </c>
      <c r="R301" t="str">
        <f>"КАЗАХСТАН, АКМОЛИНСКАЯ, СТЕПНОГОРСК, -, 41, 41"</f>
        <v>КАЗАХСТАН, АКМОЛИНСКАЯ, СТЕПНОГОРСК, -, 41, 41</v>
      </c>
      <c r="S301" t="str">
        <f>"ҚАЗАҚСТАН, АҚМОЛА, СТЕПНОГОР, -, 41, 41"</f>
        <v>ҚАЗАҚСТАН, АҚМОЛА, СТЕПНОГОР, -, 41, 41</v>
      </c>
      <c r="T301" t="str">
        <f>"-, 41, 41"</f>
        <v>-, 41, 41</v>
      </c>
      <c r="U301" t="str">
        <f>"-, 41, 41"</f>
        <v>-, 41, 41</v>
      </c>
      <c r="AC301" t="str">
        <f>"2019-08-29T00:00:00"</f>
        <v>2019-08-29T00:00:00</v>
      </c>
      <c r="AD301" t="str">
        <f>"160"</f>
        <v>160</v>
      </c>
      <c r="AG301" t="s">
        <v>202</v>
      </c>
      <c r="AI301" t="s">
        <v>299</v>
      </c>
      <c r="AJ301" t="s">
        <v>501</v>
      </c>
      <c r="AK301" t="s">
        <v>205</v>
      </c>
      <c r="AL301" t="s">
        <v>206</v>
      </c>
      <c r="AN301" t="s">
        <v>207</v>
      </c>
      <c r="AO301">
        <v>1</v>
      </c>
      <c r="AP301" t="s">
        <v>208</v>
      </c>
      <c r="AQ301" t="s">
        <v>209</v>
      </c>
      <c r="AR301" t="s">
        <v>502</v>
      </c>
      <c r="AW301" t="s">
        <v>212</v>
      </c>
      <c r="AZ301" t="s">
        <v>209</v>
      </c>
      <c r="BI301" t="s">
        <v>212</v>
      </c>
      <c r="BJ301" t="s">
        <v>213</v>
      </c>
      <c r="BK301" t="s">
        <v>214</v>
      </c>
      <c r="BL301" t="s">
        <v>357</v>
      </c>
      <c r="BN301" t="s">
        <v>216</v>
      </c>
      <c r="BO301" t="s">
        <v>209</v>
      </c>
      <c r="BP301" t="s">
        <v>241</v>
      </c>
      <c r="BQ301">
        <v>4</v>
      </c>
      <c r="BS301" t="s">
        <v>219</v>
      </c>
      <c r="BT301" t="s">
        <v>220</v>
      </c>
      <c r="BU301" t="s">
        <v>206</v>
      </c>
      <c r="BX301" t="s">
        <v>221</v>
      </c>
      <c r="BY301" t="s">
        <v>221</v>
      </c>
      <c r="BZ301" t="s">
        <v>503</v>
      </c>
      <c r="CA301" t="s">
        <v>287</v>
      </c>
      <c r="CC301" t="s">
        <v>222</v>
      </c>
      <c r="CD301" t="s">
        <v>223</v>
      </c>
      <c r="CE301" t="s">
        <v>242</v>
      </c>
      <c r="CJ301" t="s">
        <v>206</v>
      </c>
      <c r="CK301" t="s">
        <v>230</v>
      </c>
      <c r="CL301" t="s">
        <v>231</v>
      </c>
      <c r="CM301" t="s">
        <v>232</v>
      </c>
      <c r="CN301" t="s">
        <v>233</v>
      </c>
      <c r="CP301" t="s">
        <v>212</v>
      </c>
      <c r="CQ301" t="s">
        <v>212</v>
      </c>
      <c r="CR301" t="s">
        <v>212</v>
      </c>
      <c r="CS301" t="s">
        <v>212</v>
      </c>
      <c r="CY301" t="s">
        <v>212</v>
      </c>
      <c r="DB301" t="s">
        <v>234</v>
      </c>
      <c r="DE301" t="s">
        <v>212</v>
      </c>
      <c r="DF301" t="s">
        <v>212</v>
      </c>
      <c r="DG301" t="s">
        <v>235</v>
      </c>
      <c r="DH301" t="s">
        <v>212</v>
      </c>
      <c r="DJ301" t="s">
        <v>236</v>
      </c>
      <c r="DM301" t="s">
        <v>212</v>
      </c>
    </row>
    <row r="302" spans="1:184" x14ac:dyDescent="0.3">
      <c r="A302">
        <v>13264459</v>
      </c>
      <c r="B302">
        <v>769705</v>
      </c>
      <c r="C302" t="str">
        <f>"140417501155"</f>
        <v>140417501155</v>
      </c>
      <c r="D302" t="s">
        <v>1102</v>
      </c>
      <c r="E302" t="s">
        <v>1103</v>
      </c>
      <c r="F302" t="s">
        <v>1104</v>
      </c>
      <c r="G302" s="1">
        <v>41746</v>
      </c>
      <c r="I302" t="s">
        <v>240</v>
      </c>
      <c r="J302" t="s">
        <v>200</v>
      </c>
      <c r="K302" t="s">
        <v>201</v>
      </c>
      <c r="R302" t="str">
        <f>"КАЗАХСТАН, АКМОЛИНСКАЯ, СТЕПНОГОРСК, 44, 60"</f>
        <v>КАЗАХСТАН, АКМОЛИНСКАЯ, СТЕПНОГОРСК, 44, 60</v>
      </c>
      <c r="S302" t="str">
        <f>"ҚАЗАҚСТАН, АҚМОЛА, СТЕПНОГОР, 44, 60"</f>
        <v>ҚАЗАҚСТАН, АҚМОЛА, СТЕПНОГОР, 44, 60</v>
      </c>
      <c r="T302" t="str">
        <f>"44, 60"</f>
        <v>44, 60</v>
      </c>
      <c r="U302" t="str">
        <f>"44, 60"</f>
        <v>44, 60</v>
      </c>
      <c r="AC302" t="str">
        <f>"2019-08-29T00:00:00"</f>
        <v>2019-08-29T00:00:00</v>
      </c>
      <c r="AD302" t="str">
        <f>"160"</f>
        <v>160</v>
      </c>
      <c r="AG302" t="s">
        <v>202</v>
      </c>
      <c r="AI302" t="s">
        <v>299</v>
      </c>
      <c r="AJ302" t="s">
        <v>540</v>
      </c>
      <c r="AK302" t="s">
        <v>205</v>
      </c>
      <c r="AL302" t="s">
        <v>206</v>
      </c>
      <c r="AN302" t="s">
        <v>207</v>
      </c>
      <c r="AO302">
        <v>2</v>
      </c>
      <c r="AP302" t="s">
        <v>208</v>
      </c>
      <c r="AQ302" t="s">
        <v>209</v>
      </c>
      <c r="AR302" t="s">
        <v>502</v>
      </c>
      <c r="AW302" t="s">
        <v>212</v>
      </c>
      <c r="AZ302" t="s">
        <v>209</v>
      </c>
      <c r="BI302" t="s">
        <v>212</v>
      </c>
      <c r="BJ302" t="s">
        <v>213</v>
      </c>
      <c r="BK302" t="s">
        <v>214</v>
      </c>
      <c r="BL302" t="s">
        <v>357</v>
      </c>
      <c r="BN302" t="s">
        <v>216</v>
      </c>
      <c r="BO302" t="s">
        <v>209</v>
      </c>
      <c r="BP302" t="s">
        <v>241</v>
      </c>
      <c r="BQ302">
        <v>4</v>
      </c>
      <c r="BS302" t="s">
        <v>219</v>
      </c>
      <c r="BT302" t="s">
        <v>220</v>
      </c>
      <c r="BU302" t="s">
        <v>212</v>
      </c>
      <c r="BX302" t="s">
        <v>221</v>
      </c>
      <c r="BY302" t="s">
        <v>221</v>
      </c>
      <c r="BZ302" t="s">
        <v>541</v>
      </c>
      <c r="CA302" t="s">
        <v>287</v>
      </c>
      <c r="CC302" t="s">
        <v>338</v>
      </c>
      <c r="CD302" t="s">
        <v>223</v>
      </c>
      <c r="CE302" t="s">
        <v>242</v>
      </c>
      <c r="CJ302" t="s">
        <v>206</v>
      </c>
      <c r="CK302" t="s">
        <v>230</v>
      </c>
      <c r="CL302" t="s">
        <v>231</v>
      </c>
      <c r="CM302" t="s">
        <v>232</v>
      </c>
      <c r="CN302" t="s">
        <v>233</v>
      </c>
      <c r="CP302" t="s">
        <v>212</v>
      </c>
      <c r="CQ302" t="s">
        <v>212</v>
      </c>
      <c r="CR302" t="s">
        <v>212</v>
      </c>
      <c r="CS302" t="s">
        <v>212</v>
      </c>
      <c r="CY302" t="s">
        <v>212</v>
      </c>
      <c r="DB302" t="s">
        <v>234</v>
      </c>
      <c r="DE302" t="s">
        <v>212</v>
      </c>
      <c r="DF302" t="s">
        <v>212</v>
      </c>
      <c r="DG302" t="s">
        <v>235</v>
      </c>
      <c r="DH302" t="s">
        <v>212</v>
      </c>
      <c r="DJ302" t="s">
        <v>236</v>
      </c>
      <c r="DM302" t="s">
        <v>206</v>
      </c>
    </row>
    <row r="303" spans="1:184" x14ac:dyDescent="0.3">
      <c r="A303">
        <v>24812551</v>
      </c>
      <c r="B303">
        <v>8860935</v>
      </c>
      <c r="C303" t="str">
        <f>"170109503350"</f>
        <v>170109503350</v>
      </c>
      <c r="D303" t="s">
        <v>1105</v>
      </c>
      <c r="E303" t="s">
        <v>1106</v>
      </c>
      <c r="F303" t="s">
        <v>577</v>
      </c>
      <c r="G303" s="1">
        <v>42744</v>
      </c>
      <c r="I303" t="s">
        <v>240</v>
      </c>
      <c r="J303" t="s">
        <v>200</v>
      </c>
      <c r="K303" t="s">
        <v>201</v>
      </c>
      <c r="Q303" t="s">
        <v>212</v>
      </c>
      <c r="R303" t="str">
        <f>"КАЗАХСТАН, АКМОЛИНСКАЯ, СТЕПНОГОРСК, 85, 92"</f>
        <v>КАЗАХСТАН, АКМОЛИНСКАЯ, СТЕПНОГОРСК, 85, 92</v>
      </c>
      <c r="S303" t="str">
        <f>"ҚАЗАҚСТАН, АҚМОЛА, СТЕПНОГОР, 85, 92"</f>
        <v>ҚАЗАҚСТАН, АҚМОЛА, СТЕПНОГОР, 85, 92</v>
      </c>
      <c r="T303" t="str">
        <f>"85, 92"</f>
        <v>85, 92</v>
      </c>
      <c r="U303" t="str">
        <f>"85, 92"</f>
        <v>85, 92</v>
      </c>
      <c r="AC303" t="str">
        <f>"2023-08-25T00:00:00"</f>
        <v>2023-08-25T00:00:00</v>
      </c>
      <c r="AD303" t="str">
        <f>"201"</f>
        <v>201</v>
      </c>
      <c r="AE303" t="str">
        <f>"2023-09-01T17:20:44"</f>
        <v>2023-09-01T17:20:44</v>
      </c>
      <c r="AF303" t="str">
        <f>"2024-05-25T17:20:44"</f>
        <v>2024-05-25T17:20:44</v>
      </c>
      <c r="AG303" t="s">
        <v>202</v>
      </c>
      <c r="AI303" t="s">
        <v>299</v>
      </c>
      <c r="AJ303" t="s">
        <v>660</v>
      </c>
      <c r="AK303" t="s">
        <v>253</v>
      </c>
      <c r="AL303" t="s">
        <v>206</v>
      </c>
      <c r="AN303" t="s">
        <v>254</v>
      </c>
      <c r="AO303">
        <v>1</v>
      </c>
      <c r="AP303" t="s">
        <v>208</v>
      </c>
      <c r="AQ303" t="s">
        <v>209</v>
      </c>
      <c r="AR303" t="s">
        <v>502</v>
      </c>
      <c r="AW303" t="s">
        <v>212</v>
      </c>
      <c r="AZ303" t="s">
        <v>209</v>
      </c>
      <c r="BI303" t="s">
        <v>212</v>
      </c>
      <c r="BJ303" t="s">
        <v>213</v>
      </c>
      <c r="BK303" t="s">
        <v>214</v>
      </c>
      <c r="BL303" t="s">
        <v>357</v>
      </c>
      <c r="BN303" t="s">
        <v>661</v>
      </c>
      <c r="BO303" t="s">
        <v>209</v>
      </c>
      <c r="BS303" t="s">
        <v>220</v>
      </c>
      <c r="BU303" t="s">
        <v>212</v>
      </c>
      <c r="BZ303" t="s">
        <v>662</v>
      </c>
      <c r="CA303" t="s">
        <v>287</v>
      </c>
      <c r="CC303" t="s">
        <v>404</v>
      </c>
      <c r="CD303" t="s">
        <v>349</v>
      </c>
      <c r="CE303" t="s">
        <v>242</v>
      </c>
      <c r="CJ303" t="s">
        <v>206</v>
      </c>
      <c r="CK303" t="s">
        <v>230</v>
      </c>
      <c r="CL303" t="s">
        <v>231</v>
      </c>
      <c r="CM303" t="s">
        <v>232</v>
      </c>
      <c r="CN303" t="s">
        <v>233</v>
      </c>
      <c r="CP303" t="s">
        <v>212</v>
      </c>
      <c r="CQ303" t="s">
        <v>212</v>
      </c>
      <c r="CR303" t="s">
        <v>212</v>
      </c>
      <c r="CS303" t="s">
        <v>212</v>
      </c>
      <c r="CY303" t="s">
        <v>212</v>
      </c>
      <c r="DB303" t="s">
        <v>234</v>
      </c>
      <c r="DE303" t="s">
        <v>212</v>
      </c>
      <c r="DF303" t="s">
        <v>212</v>
      </c>
      <c r="DG303" t="s">
        <v>235</v>
      </c>
      <c r="DH303" t="s">
        <v>212</v>
      </c>
      <c r="DJ303" t="s">
        <v>236</v>
      </c>
      <c r="DM303" t="s">
        <v>212</v>
      </c>
      <c r="GB303" t="s">
        <v>206</v>
      </c>
    </row>
    <row r="304" spans="1:184" x14ac:dyDescent="0.3">
      <c r="A304">
        <v>24826739</v>
      </c>
      <c r="B304">
        <v>11143166</v>
      </c>
      <c r="C304" t="str">
        <f>"170809502388"</f>
        <v>170809502388</v>
      </c>
      <c r="D304" t="s">
        <v>1107</v>
      </c>
      <c r="E304" t="s">
        <v>1108</v>
      </c>
      <c r="F304" t="s">
        <v>706</v>
      </c>
      <c r="G304" s="1">
        <v>42956</v>
      </c>
      <c r="I304" t="s">
        <v>240</v>
      </c>
      <c r="J304" t="s">
        <v>200</v>
      </c>
      <c r="K304" t="s">
        <v>201</v>
      </c>
      <c r="Q304" t="s">
        <v>212</v>
      </c>
      <c r="R304" t="str">
        <f>"КАЗАХСТАН, АКМОЛИНСКАЯ, СТЕПНОГОРСК, 11, 33"</f>
        <v>КАЗАХСТАН, АКМОЛИНСКАЯ, СТЕПНОГОРСК, 11, 33</v>
      </c>
      <c r="S304" t="str">
        <f>"ҚАЗАҚСТАН, АҚМОЛА, СТЕПНОГОР, 11, 33"</f>
        <v>ҚАЗАҚСТАН, АҚМОЛА, СТЕПНОГОР, 11, 33</v>
      </c>
      <c r="T304" t="str">
        <f>"11, 33"</f>
        <v>11, 33</v>
      </c>
      <c r="U304" t="str">
        <f>"11, 33"</f>
        <v>11, 33</v>
      </c>
      <c r="AC304" t="str">
        <f>"2023-08-25T00:00:00"</f>
        <v>2023-08-25T00:00:00</v>
      </c>
      <c r="AD304" t="str">
        <f>"201"</f>
        <v>201</v>
      </c>
      <c r="AG304" t="s">
        <v>202</v>
      </c>
      <c r="AI304" t="s">
        <v>269</v>
      </c>
      <c r="AJ304" t="s">
        <v>660</v>
      </c>
      <c r="AK304" t="s">
        <v>253</v>
      </c>
      <c r="AL304" t="s">
        <v>206</v>
      </c>
      <c r="AN304" t="s">
        <v>254</v>
      </c>
      <c r="AO304">
        <v>1</v>
      </c>
      <c r="AP304" t="s">
        <v>208</v>
      </c>
      <c r="AQ304" t="s">
        <v>209</v>
      </c>
      <c r="AR304" t="s">
        <v>502</v>
      </c>
      <c r="AW304" t="s">
        <v>212</v>
      </c>
      <c r="AZ304" t="s">
        <v>209</v>
      </c>
      <c r="BI304" t="s">
        <v>212</v>
      </c>
      <c r="BJ304" t="s">
        <v>213</v>
      </c>
      <c r="BK304" t="s">
        <v>214</v>
      </c>
      <c r="BL304" t="s">
        <v>357</v>
      </c>
      <c r="BN304" t="s">
        <v>661</v>
      </c>
      <c r="BO304" t="s">
        <v>209</v>
      </c>
      <c r="BS304" t="s">
        <v>220</v>
      </c>
      <c r="BU304" t="s">
        <v>212</v>
      </c>
      <c r="BZ304" t="s">
        <v>662</v>
      </c>
      <c r="CA304" t="s">
        <v>287</v>
      </c>
      <c r="CC304" t="s">
        <v>209</v>
      </c>
      <c r="CE304" t="s">
        <v>242</v>
      </c>
      <c r="CJ304" t="s">
        <v>206</v>
      </c>
      <c r="CK304" t="s">
        <v>230</v>
      </c>
      <c r="CL304" t="s">
        <v>231</v>
      </c>
      <c r="CM304" t="s">
        <v>232</v>
      </c>
      <c r="CN304" t="s">
        <v>233</v>
      </c>
      <c r="CP304" t="s">
        <v>212</v>
      </c>
      <c r="CQ304" t="s">
        <v>212</v>
      </c>
      <c r="CR304" t="s">
        <v>212</v>
      </c>
      <c r="CS304" t="s">
        <v>212</v>
      </c>
      <c r="CY304" t="s">
        <v>212</v>
      </c>
      <c r="DB304" t="s">
        <v>234</v>
      </c>
      <c r="DE304" t="s">
        <v>212</v>
      </c>
      <c r="DF304" t="s">
        <v>212</v>
      </c>
      <c r="DG304" t="s">
        <v>235</v>
      </c>
      <c r="DH304" t="s">
        <v>212</v>
      </c>
      <c r="DJ304" t="s">
        <v>236</v>
      </c>
      <c r="DM304" t="s">
        <v>206</v>
      </c>
      <c r="GB304" t="s">
        <v>206</v>
      </c>
    </row>
    <row r="305" spans="1:184" x14ac:dyDescent="0.3">
      <c r="A305">
        <v>13264270</v>
      </c>
      <c r="B305">
        <v>840580</v>
      </c>
      <c r="C305" t="str">
        <f>"130306550029"</f>
        <v>130306550029</v>
      </c>
      <c r="D305" t="s">
        <v>1109</v>
      </c>
      <c r="E305" t="s">
        <v>1110</v>
      </c>
      <c r="F305" t="s">
        <v>321</v>
      </c>
      <c r="G305" s="1">
        <v>41339</v>
      </c>
      <c r="I305" t="s">
        <v>240</v>
      </c>
      <c r="J305" t="s">
        <v>200</v>
      </c>
      <c r="K305" t="s">
        <v>306</v>
      </c>
      <c r="Q305" t="s">
        <v>212</v>
      </c>
      <c r="R305" t="str">
        <f>"КАЗАХСТАН, АКМОЛИНСКАЯ, СТЕПНОГОРСК, 17, 104"</f>
        <v>КАЗАХСТАН, АКМОЛИНСКАЯ, СТЕПНОГОРСК, 17, 104</v>
      </c>
      <c r="S305" t="str">
        <f>"ҚАЗАҚСТАН, АҚМОЛА, СТЕПНОГОР, 17, 104"</f>
        <v>ҚАЗАҚСТАН, АҚМОЛА, СТЕПНОГОР, 17, 104</v>
      </c>
      <c r="T305" t="str">
        <f>"17, 104"</f>
        <v>17, 104</v>
      </c>
      <c r="U305" t="str">
        <f>"17, 104"</f>
        <v>17, 104</v>
      </c>
      <c r="AC305" t="str">
        <f>"2019-08-29T00:00:00"</f>
        <v>2019-08-29T00:00:00</v>
      </c>
      <c r="AD305" t="str">
        <f>"160"</f>
        <v>160</v>
      </c>
      <c r="AG305" t="s">
        <v>202</v>
      </c>
      <c r="AI305" t="s">
        <v>299</v>
      </c>
      <c r="AJ305" t="s">
        <v>501</v>
      </c>
      <c r="AK305" t="s">
        <v>205</v>
      </c>
      <c r="AL305" t="s">
        <v>206</v>
      </c>
      <c r="AN305" t="s">
        <v>207</v>
      </c>
      <c r="AO305">
        <v>1</v>
      </c>
      <c r="AP305" t="s">
        <v>208</v>
      </c>
      <c r="AQ305" t="s">
        <v>209</v>
      </c>
      <c r="AR305" t="s">
        <v>502</v>
      </c>
      <c r="AV305" t="str">
        <f>"2021-01-19T11:17:36"</f>
        <v>2021-01-19T11:17:36</v>
      </c>
      <c r="AW305" t="s">
        <v>212</v>
      </c>
      <c r="AZ305" t="s">
        <v>209</v>
      </c>
      <c r="BI305" t="s">
        <v>212</v>
      </c>
      <c r="BJ305" t="s">
        <v>213</v>
      </c>
      <c r="BK305" t="s">
        <v>214</v>
      </c>
      <c r="BL305" t="s">
        <v>357</v>
      </c>
      <c r="BN305" t="s">
        <v>216</v>
      </c>
      <c r="BO305" t="s">
        <v>209</v>
      </c>
      <c r="BP305" t="s">
        <v>241</v>
      </c>
      <c r="BQ305">
        <v>4</v>
      </c>
      <c r="BS305" t="s">
        <v>219</v>
      </c>
      <c r="BT305" t="s">
        <v>220</v>
      </c>
      <c r="BU305" t="s">
        <v>206</v>
      </c>
      <c r="BX305" t="s">
        <v>234</v>
      </c>
      <c r="BY305" t="s">
        <v>234</v>
      </c>
      <c r="BZ305" t="s">
        <v>503</v>
      </c>
      <c r="CA305" t="s">
        <v>287</v>
      </c>
      <c r="CC305" t="s">
        <v>222</v>
      </c>
      <c r="CD305" t="s">
        <v>223</v>
      </c>
      <c r="CE305" t="s">
        <v>242</v>
      </c>
      <c r="CJ305" t="s">
        <v>206</v>
      </c>
      <c r="CK305" t="s">
        <v>230</v>
      </c>
      <c r="CL305" t="s">
        <v>231</v>
      </c>
      <c r="CM305" t="s">
        <v>232</v>
      </c>
      <c r="CN305" t="s">
        <v>233</v>
      </c>
      <c r="CP305" t="s">
        <v>212</v>
      </c>
      <c r="CQ305" t="s">
        <v>212</v>
      </c>
      <c r="CR305" t="s">
        <v>212</v>
      </c>
      <c r="CS305" t="s">
        <v>212</v>
      </c>
      <c r="CY305" t="s">
        <v>212</v>
      </c>
      <c r="DB305" t="s">
        <v>234</v>
      </c>
      <c r="DE305" t="s">
        <v>212</v>
      </c>
      <c r="DF305" t="s">
        <v>212</v>
      </c>
      <c r="DG305" t="s">
        <v>235</v>
      </c>
      <c r="DH305" t="s">
        <v>212</v>
      </c>
      <c r="DJ305" t="s">
        <v>236</v>
      </c>
      <c r="DM305" t="s">
        <v>212</v>
      </c>
    </row>
    <row r="306" spans="1:184" x14ac:dyDescent="0.3">
      <c r="A306">
        <v>13264223</v>
      </c>
      <c r="B306">
        <v>840386</v>
      </c>
      <c r="C306" t="str">
        <f>"130915603004"</f>
        <v>130915603004</v>
      </c>
      <c r="D306" t="s">
        <v>1111</v>
      </c>
      <c r="E306" t="s">
        <v>1112</v>
      </c>
      <c r="F306" t="s">
        <v>555</v>
      </c>
      <c r="G306" s="1">
        <v>41532</v>
      </c>
      <c r="I306" t="s">
        <v>199</v>
      </c>
      <c r="J306" t="s">
        <v>200</v>
      </c>
      <c r="K306" t="s">
        <v>260</v>
      </c>
      <c r="Q306" t="s">
        <v>212</v>
      </c>
      <c r="R306" t="str">
        <f>"КАЗАХСТАН, АКМОЛИНСКАЯ, СТЕПНОГОРСК, -, 10, 10"</f>
        <v>КАЗАХСТАН, АКМОЛИНСКАЯ, СТЕПНОГОРСК, -, 10, 10</v>
      </c>
      <c r="S306" t="str">
        <f>"ҚАЗАҚСТАН, АҚМОЛА, СТЕПНОГОР, -, 10, 10"</f>
        <v>ҚАЗАҚСТАН, АҚМОЛА, СТЕПНОГОР, -, 10, 10</v>
      </c>
      <c r="T306" t="str">
        <f>"-, 10, 10"</f>
        <v>-, 10, 10</v>
      </c>
      <c r="U306" t="str">
        <f>"-, 10, 10"</f>
        <v>-, 10, 10</v>
      </c>
      <c r="AC306" t="str">
        <f>"2019-08-29T00:00:00"</f>
        <v>2019-08-29T00:00:00</v>
      </c>
      <c r="AD306" t="str">
        <f>"160"</f>
        <v>160</v>
      </c>
      <c r="AG306" t="s">
        <v>202</v>
      </c>
      <c r="AI306" t="s">
        <v>299</v>
      </c>
      <c r="AJ306" t="s">
        <v>501</v>
      </c>
      <c r="AK306" t="s">
        <v>261</v>
      </c>
      <c r="AL306" t="s">
        <v>206</v>
      </c>
      <c r="AN306" t="s">
        <v>207</v>
      </c>
      <c r="AO306">
        <v>1</v>
      </c>
      <c r="AP306" t="s">
        <v>208</v>
      </c>
      <c r="AQ306" t="s">
        <v>209</v>
      </c>
      <c r="AR306" t="s">
        <v>502</v>
      </c>
      <c r="AW306" t="s">
        <v>212</v>
      </c>
      <c r="AZ306" t="s">
        <v>209</v>
      </c>
      <c r="BI306" t="s">
        <v>212</v>
      </c>
      <c r="BJ306" t="s">
        <v>213</v>
      </c>
      <c r="BK306" t="s">
        <v>214</v>
      </c>
      <c r="BL306" t="s">
        <v>357</v>
      </c>
      <c r="BN306" t="s">
        <v>216</v>
      </c>
      <c r="BO306" t="s">
        <v>209</v>
      </c>
      <c r="BP306" t="s">
        <v>241</v>
      </c>
      <c r="BQ306">
        <v>4</v>
      </c>
      <c r="BS306" t="s">
        <v>219</v>
      </c>
      <c r="BT306" t="s">
        <v>220</v>
      </c>
      <c r="BU306" t="s">
        <v>206</v>
      </c>
      <c r="BX306" t="s">
        <v>221</v>
      </c>
      <c r="BY306" t="s">
        <v>221</v>
      </c>
      <c r="BZ306" t="s">
        <v>503</v>
      </c>
      <c r="CA306" t="s">
        <v>287</v>
      </c>
      <c r="CC306" t="s">
        <v>222</v>
      </c>
      <c r="CD306" t="s">
        <v>223</v>
      </c>
      <c r="CE306" t="s">
        <v>242</v>
      </c>
      <c r="CJ306" t="s">
        <v>206</v>
      </c>
      <c r="CK306" t="s">
        <v>230</v>
      </c>
      <c r="CL306" t="s">
        <v>231</v>
      </c>
      <c r="CM306" t="s">
        <v>232</v>
      </c>
      <c r="CN306" t="s">
        <v>233</v>
      </c>
      <c r="CP306" t="s">
        <v>212</v>
      </c>
      <c r="CQ306" t="s">
        <v>212</v>
      </c>
      <c r="CR306" t="s">
        <v>212</v>
      </c>
      <c r="CS306" t="s">
        <v>212</v>
      </c>
      <c r="CY306" t="s">
        <v>212</v>
      </c>
      <c r="DB306" t="s">
        <v>234</v>
      </c>
      <c r="DE306" t="s">
        <v>212</v>
      </c>
      <c r="DF306" t="s">
        <v>212</v>
      </c>
      <c r="DG306" t="s">
        <v>235</v>
      </c>
      <c r="DH306" t="s">
        <v>212</v>
      </c>
      <c r="DJ306" t="s">
        <v>236</v>
      </c>
      <c r="DM306" t="s">
        <v>212</v>
      </c>
    </row>
    <row r="307" spans="1:184" x14ac:dyDescent="0.3">
      <c r="A307">
        <v>24874406</v>
      </c>
      <c r="B307">
        <v>9644356</v>
      </c>
      <c r="C307" t="str">
        <f>"170918602446"</f>
        <v>170918602446</v>
      </c>
      <c r="D307" t="s">
        <v>1113</v>
      </c>
      <c r="E307" t="s">
        <v>1114</v>
      </c>
      <c r="F307" t="s">
        <v>1115</v>
      </c>
      <c r="G307" s="1">
        <v>42996</v>
      </c>
      <c r="I307" t="s">
        <v>199</v>
      </c>
      <c r="J307" t="s">
        <v>200</v>
      </c>
      <c r="K307" t="s">
        <v>260</v>
      </c>
      <c r="Q307" t="s">
        <v>212</v>
      </c>
      <c r="R307" t="str">
        <f>"КАЗАХСТАН, АКМОЛИНСКАЯ, СТЕПНОГОРСК, 42, 8"</f>
        <v>КАЗАХСТАН, АКМОЛИНСКАЯ, СТЕПНОГОРСК, 42, 8</v>
      </c>
      <c r="S307" t="str">
        <f>"ҚАЗАҚСТАН, АҚМОЛА, СТЕПНОГОР, 42, 8"</f>
        <v>ҚАЗАҚСТАН, АҚМОЛА, СТЕПНОГОР, 42, 8</v>
      </c>
      <c r="T307" t="str">
        <f>"42, 8"</f>
        <v>42, 8</v>
      </c>
      <c r="U307" t="str">
        <f>"42, 8"</f>
        <v>42, 8</v>
      </c>
      <c r="AC307" t="str">
        <f>"2023-08-25T00:00:00"</f>
        <v>2023-08-25T00:00:00</v>
      </c>
      <c r="AD307" t="str">
        <f>"201"</f>
        <v>201</v>
      </c>
      <c r="AG307" t="s">
        <v>202</v>
      </c>
      <c r="AI307" t="s">
        <v>274</v>
      </c>
      <c r="AJ307" t="s">
        <v>660</v>
      </c>
      <c r="AK307" t="s">
        <v>205</v>
      </c>
      <c r="AL307" t="s">
        <v>206</v>
      </c>
      <c r="AN307" t="s">
        <v>207</v>
      </c>
      <c r="AO307">
        <v>1</v>
      </c>
      <c r="AP307" t="s">
        <v>208</v>
      </c>
      <c r="AQ307" t="s">
        <v>209</v>
      </c>
      <c r="AR307" t="s">
        <v>502</v>
      </c>
      <c r="AW307" t="s">
        <v>212</v>
      </c>
      <c r="AZ307" t="s">
        <v>209</v>
      </c>
      <c r="BI307" t="s">
        <v>212</v>
      </c>
      <c r="BJ307" t="s">
        <v>213</v>
      </c>
      <c r="BK307" t="s">
        <v>214</v>
      </c>
      <c r="BL307" t="s">
        <v>357</v>
      </c>
      <c r="BN307" t="s">
        <v>661</v>
      </c>
      <c r="BO307" t="s">
        <v>209</v>
      </c>
      <c r="BS307" t="s">
        <v>220</v>
      </c>
      <c r="BU307" t="s">
        <v>212</v>
      </c>
      <c r="BZ307" t="s">
        <v>662</v>
      </c>
      <c r="CA307" t="s">
        <v>287</v>
      </c>
      <c r="CC307" t="s">
        <v>209</v>
      </c>
      <c r="CE307" t="s">
        <v>242</v>
      </c>
      <c r="CJ307" t="s">
        <v>206</v>
      </c>
      <c r="CK307" t="s">
        <v>230</v>
      </c>
      <c r="CL307" t="s">
        <v>231</v>
      </c>
      <c r="CM307" t="s">
        <v>232</v>
      </c>
      <c r="CN307" t="s">
        <v>233</v>
      </c>
      <c r="CP307" t="s">
        <v>212</v>
      </c>
      <c r="CQ307" t="s">
        <v>212</v>
      </c>
      <c r="CR307" t="s">
        <v>212</v>
      </c>
      <c r="CS307" t="s">
        <v>212</v>
      </c>
      <c r="CY307" t="s">
        <v>212</v>
      </c>
      <c r="DB307" t="s">
        <v>234</v>
      </c>
      <c r="DE307" t="s">
        <v>212</v>
      </c>
      <c r="DF307" t="s">
        <v>212</v>
      </c>
      <c r="DG307" t="s">
        <v>235</v>
      </c>
      <c r="DH307" t="s">
        <v>212</v>
      </c>
      <c r="DJ307" t="s">
        <v>236</v>
      </c>
      <c r="DM307" t="s">
        <v>212</v>
      </c>
      <c r="GB307" t="s">
        <v>206</v>
      </c>
    </row>
    <row r="308" spans="1:184" x14ac:dyDescent="0.3">
      <c r="A308">
        <v>13264142</v>
      </c>
      <c r="B308">
        <v>837916</v>
      </c>
      <c r="C308" t="str">
        <f>"130927500990"</f>
        <v>130927500990</v>
      </c>
      <c r="D308" t="s">
        <v>1116</v>
      </c>
      <c r="E308" t="s">
        <v>548</v>
      </c>
      <c r="F308" t="s">
        <v>1117</v>
      </c>
      <c r="G308" s="1">
        <v>41544</v>
      </c>
      <c r="I308" t="s">
        <v>240</v>
      </c>
      <c r="J308" t="s">
        <v>200</v>
      </c>
      <c r="K308" t="s">
        <v>201</v>
      </c>
      <c r="Q308" t="s">
        <v>212</v>
      </c>
      <c r="R308" t="str">
        <f>"КАЗАХСТАН, АКМОЛИНСКАЯ, СТЕПНОГОРСК, 68, 21"</f>
        <v>КАЗАХСТАН, АКМОЛИНСКАЯ, СТЕПНОГОРСК, 68, 21</v>
      </c>
      <c r="S308" t="str">
        <f>"ҚАЗАҚСТАН, АҚМОЛА, СТЕПНОГОР, 68, 21"</f>
        <v>ҚАЗАҚСТАН, АҚМОЛА, СТЕПНОГОР, 68, 21</v>
      </c>
      <c r="T308" t="str">
        <f>"68, 21"</f>
        <v>68, 21</v>
      </c>
      <c r="U308" t="str">
        <f>"68, 21"</f>
        <v>68, 21</v>
      </c>
      <c r="AC308" t="str">
        <f t="shared" ref="AC308:AC313" si="8">"2019-08-29T00:00:00"</f>
        <v>2019-08-29T00:00:00</v>
      </c>
      <c r="AD308" t="str">
        <f t="shared" ref="AD308:AD313" si="9">"160"</f>
        <v>160</v>
      </c>
      <c r="AG308" t="s">
        <v>202</v>
      </c>
      <c r="AI308" t="s">
        <v>299</v>
      </c>
      <c r="AJ308" t="s">
        <v>501</v>
      </c>
      <c r="AK308" t="s">
        <v>261</v>
      </c>
      <c r="AL308" t="s">
        <v>206</v>
      </c>
      <c r="AN308" t="s">
        <v>207</v>
      </c>
      <c r="AO308">
        <v>1</v>
      </c>
      <c r="AP308" t="s">
        <v>208</v>
      </c>
      <c r="AQ308" t="s">
        <v>209</v>
      </c>
      <c r="AR308" t="s">
        <v>502</v>
      </c>
      <c r="AW308" t="s">
        <v>212</v>
      </c>
      <c r="AZ308" t="s">
        <v>209</v>
      </c>
      <c r="BI308" t="s">
        <v>212</v>
      </c>
      <c r="BJ308" t="s">
        <v>213</v>
      </c>
      <c r="BK308" t="s">
        <v>214</v>
      </c>
      <c r="BL308" t="s">
        <v>357</v>
      </c>
      <c r="BN308" t="s">
        <v>247</v>
      </c>
      <c r="BO308" t="s">
        <v>209</v>
      </c>
      <c r="BP308" t="s">
        <v>241</v>
      </c>
      <c r="BQ308">
        <v>3</v>
      </c>
      <c r="BS308" t="s">
        <v>219</v>
      </c>
      <c r="BT308" t="s">
        <v>220</v>
      </c>
      <c r="BU308" t="s">
        <v>206</v>
      </c>
      <c r="BX308" t="s">
        <v>221</v>
      </c>
      <c r="BY308" t="s">
        <v>221</v>
      </c>
      <c r="BZ308" t="s">
        <v>503</v>
      </c>
      <c r="CA308" t="s">
        <v>287</v>
      </c>
      <c r="CC308" t="s">
        <v>222</v>
      </c>
      <c r="CD308" t="s">
        <v>223</v>
      </c>
      <c r="CE308" t="s">
        <v>242</v>
      </c>
      <c r="CJ308" t="s">
        <v>206</v>
      </c>
      <c r="CK308" t="s">
        <v>230</v>
      </c>
      <c r="CL308" t="s">
        <v>231</v>
      </c>
      <c r="CM308" t="s">
        <v>232</v>
      </c>
      <c r="CN308" t="s">
        <v>233</v>
      </c>
      <c r="CP308" t="s">
        <v>212</v>
      </c>
      <c r="CQ308" t="s">
        <v>212</v>
      </c>
      <c r="CR308" t="s">
        <v>212</v>
      </c>
      <c r="CS308" t="s">
        <v>212</v>
      </c>
      <c r="CY308" t="s">
        <v>212</v>
      </c>
      <c r="DB308" t="s">
        <v>234</v>
      </c>
      <c r="DE308" t="s">
        <v>212</v>
      </c>
      <c r="DF308" t="s">
        <v>212</v>
      </c>
      <c r="DG308" t="s">
        <v>235</v>
      </c>
      <c r="DH308" t="s">
        <v>212</v>
      </c>
      <c r="DJ308" t="s">
        <v>236</v>
      </c>
      <c r="DM308" t="s">
        <v>212</v>
      </c>
    </row>
    <row r="309" spans="1:184" x14ac:dyDescent="0.3">
      <c r="A309">
        <v>13264109</v>
      </c>
      <c r="B309">
        <v>861727</v>
      </c>
      <c r="C309" t="str">
        <f>"131204500148"</f>
        <v>131204500148</v>
      </c>
      <c r="D309" t="s">
        <v>1118</v>
      </c>
      <c r="E309" t="s">
        <v>1119</v>
      </c>
      <c r="F309" t="s">
        <v>1117</v>
      </c>
      <c r="G309" s="1">
        <v>41612</v>
      </c>
      <c r="I309" t="s">
        <v>240</v>
      </c>
      <c r="J309" t="s">
        <v>200</v>
      </c>
      <c r="K309" t="s">
        <v>201</v>
      </c>
      <c r="Q309" t="s">
        <v>212</v>
      </c>
      <c r="R309" t="str">
        <f>"КАЗАХСТАН, НУР-СУЛТАН, САРЫАРКА РАЙОН, 3"</f>
        <v>КАЗАХСТАН, НУР-СУЛТАН, САРЫАРКА РАЙОН, 3</v>
      </c>
      <c r="S309" t="str">
        <f>"ҚАЗАҚСТАН, НҰР-СҰЛТАН, САРЫАРҚА АУДАНЫ, 3"</f>
        <v>ҚАЗАҚСТАН, НҰР-СҰЛТАН, САРЫАРҚА АУДАНЫ, 3</v>
      </c>
      <c r="T309" t="str">
        <f>"3"</f>
        <v>3</v>
      </c>
      <c r="U309" t="str">
        <f>"3"</f>
        <v>3</v>
      </c>
      <c r="AC309" t="str">
        <f t="shared" si="8"/>
        <v>2019-08-29T00:00:00</v>
      </c>
      <c r="AD309" t="str">
        <f t="shared" si="9"/>
        <v>160</v>
      </c>
      <c r="AG309" t="s">
        <v>202</v>
      </c>
      <c r="AI309" t="s">
        <v>299</v>
      </c>
      <c r="AJ309" t="s">
        <v>501</v>
      </c>
      <c r="AK309" t="s">
        <v>261</v>
      </c>
      <c r="AL309" t="s">
        <v>206</v>
      </c>
      <c r="AN309" t="s">
        <v>207</v>
      </c>
      <c r="AO309">
        <v>1</v>
      </c>
      <c r="AP309" t="s">
        <v>208</v>
      </c>
      <c r="AQ309" t="s">
        <v>209</v>
      </c>
      <c r="AR309" t="s">
        <v>502</v>
      </c>
      <c r="AW309" t="s">
        <v>212</v>
      </c>
      <c r="AZ309" t="s">
        <v>209</v>
      </c>
      <c r="BI309" t="s">
        <v>212</v>
      </c>
      <c r="BJ309" t="s">
        <v>213</v>
      </c>
      <c r="BK309" t="s">
        <v>214</v>
      </c>
      <c r="BL309" t="s">
        <v>357</v>
      </c>
      <c r="BN309" t="s">
        <v>247</v>
      </c>
      <c r="BO309" t="s">
        <v>209</v>
      </c>
      <c r="BP309" t="s">
        <v>241</v>
      </c>
      <c r="BQ309">
        <v>3</v>
      </c>
      <c r="BS309" t="s">
        <v>219</v>
      </c>
      <c r="BT309" t="s">
        <v>220</v>
      </c>
      <c r="BU309" t="s">
        <v>206</v>
      </c>
      <c r="BX309" t="s">
        <v>221</v>
      </c>
      <c r="BY309" t="s">
        <v>221</v>
      </c>
      <c r="BZ309" t="s">
        <v>503</v>
      </c>
      <c r="CA309" t="s">
        <v>287</v>
      </c>
      <c r="CC309" t="s">
        <v>222</v>
      </c>
      <c r="CD309" t="s">
        <v>223</v>
      </c>
      <c r="CE309" t="s">
        <v>242</v>
      </c>
      <c r="CJ309" t="s">
        <v>206</v>
      </c>
      <c r="CK309" t="s">
        <v>230</v>
      </c>
      <c r="CL309" t="s">
        <v>231</v>
      </c>
      <c r="CM309" t="s">
        <v>232</v>
      </c>
      <c r="CN309" t="s">
        <v>233</v>
      </c>
      <c r="CP309" t="s">
        <v>212</v>
      </c>
      <c r="CQ309" t="s">
        <v>212</v>
      </c>
      <c r="CR309" t="s">
        <v>212</v>
      </c>
      <c r="CS309" t="s">
        <v>212</v>
      </c>
      <c r="CY309" t="s">
        <v>212</v>
      </c>
      <c r="DB309" t="s">
        <v>683</v>
      </c>
      <c r="DC309" t="str">
        <f>"№343 Задержка психического развития."</f>
        <v>№343 Задержка психического развития.</v>
      </c>
      <c r="DD309" t="str">
        <f>"2023-04-25T00:00:00"</f>
        <v>2023-04-25T00:00:00</v>
      </c>
      <c r="DE309" t="s">
        <v>212</v>
      </c>
      <c r="DF309" t="s">
        <v>212</v>
      </c>
      <c r="DG309" t="s">
        <v>235</v>
      </c>
      <c r="DH309" t="s">
        <v>212</v>
      </c>
      <c r="DJ309" t="s">
        <v>236</v>
      </c>
      <c r="DM309" t="s">
        <v>212</v>
      </c>
    </row>
    <row r="310" spans="1:184" x14ac:dyDescent="0.3">
      <c r="A310">
        <v>13264078</v>
      </c>
      <c r="B310">
        <v>778442</v>
      </c>
      <c r="C310" t="str">
        <f>"130922602133"</f>
        <v>130922602133</v>
      </c>
      <c r="D310" t="s">
        <v>1120</v>
      </c>
      <c r="E310" t="s">
        <v>1121</v>
      </c>
      <c r="F310" t="s">
        <v>1122</v>
      </c>
      <c r="G310" s="1">
        <v>41539</v>
      </c>
      <c r="I310" t="s">
        <v>199</v>
      </c>
      <c r="J310" t="s">
        <v>200</v>
      </c>
      <c r="K310" t="s">
        <v>201</v>
      </c>
      <c r="Q310" t="s">
        <v>212</v>
      </c>
      <c r="R310" t="str">
        <f>"КАЗАХСТАН, АКМОЛИНСКАЯ, СТЕПНОГОРСК, 27, 28"</f>
        <v>КАЗАХСТАН, АКМОЛИНСКАЯ, СТЕПНОГОРСК, 27, 28</v>
      </c>
      <c r="S310" t="str">
        <f>"ҚАЗАҚСТАН, АҚМОЛА, СТЕПНОГОР, 27, 28"</f>
        <v>ҚАЗАҚСТАН, АҚМОЛА, СТЕПНОГОР, 27, 28</v>
      </c>
      <c r="T310" t="str">
        <f>"27, 28"</f>
        <v>27, 28</v>
      </c>
      <c r="U310" t="str">
        <f>"27, 28"</f>
        <v>27, 28</v>
      </c>
      <c r="AC310" t="str">
        <f t="shared" si="8"/>
        <v>2019-08-29T00:00:00</v>
      </c>
      <c r="AD310" t="str">
        <f t="shared" si="9"/>
        <v>160</v>
      </c>
      <c r="AG310" t="s">
        <v>202</v>
      </c>
      <c r="AI310" t="s">
        <v>299</v>
      </c>
      <c r="AJ310" t="s">
        <v>501</v>
      </c>
      <c r="AK310" t="s">
        <v>205</v>
      </c>
      <c r="AL310" t="s">
        <v>206</v>
      </c>
      <c r="AN310" t="s">
        <v>207</v>
      </c>
      <c r="AO310">
        <v>1</v>
      </c>
      <c r="AP310" t="s">
        <v>208</v>
      </c>
      <c r="AQ310" t="s">
        <v>209</v>
      </c>
      <c r="AR310" t="s">
        <v>502</v>
      </c>
      <c r="AW310" t="s">
        <v>212</v>
      </c>
      <c r="AZ310" t="s">
        <v>209</v>
      </c>
      <c r="BI310" t="s">
        <v>212</v>
      </c>
      <c r="BJ310" t="s">
        <v>213</v>
      </c>
      <c r="BK310" t="s">
        <v>214</v>
      </c>
      <c r="BL310" t="s">
        <v>357</v>
      </c>
      <c r="BN310" t="s">
        <v>281</v>
      </c>
      <c r="BO310" t="s">
        <v>209</v>
      </c>
      <c r="BP310" t="s">
        <v>241</v>
      </c>
      <c r="BQ310">
        <v>5</v>
      </c>
      <c r="BS310" t="s">
        <v>219</v>
      </c>
      <c r="BT310" t="s">
        <v>220</v>
      </c>
      <c r="BU310" t="s">
        <v>206</v>
      </c>
      <c r="BX310" t="s">
        <v>221</v>
      </c>
      <c r="BY310" t="s">
        <v>221</v>
      </c>
      <c r="BZ310" t="s">
        <v>503</v>
      </c>
      <c r="CA310" t="s">
        <v>287</v>
      </c>
      <c r="CC310" t="s">
        <v>222</v>
      </c>
      <c r="CD310" t="s">
        <v>223</v>
      </c>
      <c r="CE310" t="s">
        <v>242</v>
      </c>
      <c r="CJ310" t="s">
        <v>206</v>
      </c>
      <c r="CK310" t="s">
        <v>230</v>
      </c>
      <c r="CL310" t="s">
        <v>231</v>
      </c>
      <c r="CM310" t="s">
        <v>232</v>
      </c>
      <c r="CN310" t="s">
        <v>233</v>
      </c>
      <c r="CP310" t="s">
        <v>212</v>
      </c>
      <c r="CQ310" t="s">
        <v>212</v>
      </c>
      <c r="CR310" t="s">
        <v>212</v>
      </c>
      <c r="CS310" t="s">
        <v>212</v>
      </c>
      <c r="CY310" t="s">
        <v>212</v>
      </c>
      <c r="DB310" t="s">
        <v>234</v>
      </c>
      <c r="DE310" t="s">
        <v>212</v>
      </c>
      <c r="DF310" t="s">
        <v>212</v>
      </c>
      <c r="DG310" t="s">
        <v>235</v>
      </c>
      <c r="DH310" t="s">
        <v>212</v>
      </c>
      <c r="DJ310" t="s">
        <v>236</v>
      </c>
      <c r="DM310" t="s">
        <v>212</v>
      </c>
    </row>
    <row r="311" spans="1:184" x14ac:dyDescent="0.3">
      <c r="A311">
        <v>13263903</v>
      </c>
      <c r="B311">
        <v>820196</v>
      </c>
      <c r="C311" t="str">
        <f>"131002600336"</f>
        <v>131002600336</v>
      </c>
      <c r="D311" t="s">
        <v>1123</v>
      </c>
      <c r="E311" t="s">
        <v>1124</v>
      </c>
      <c r="F311" t="s">
        <v>305</v>
      </c>
      <c r="G311" s="1">
        <v>41549</v>
      </c>
      <c r="I311" t="s">
        <v>199</v>
      </c>
      <c r="J311" t="s">
        <v>200</v>
      </c>
      <c r="K311" t="s">
        <v>260</v>
      </c>
      <c r="Q311" t="s">
        <v>212</v>
      </c>
      <c r="R311" t="str">
        <f>"КАЗАХСТАН, АКМОЛИНСКАЯ, СТЕПНОГОРСК, 35, 13"</f>
        <v>КАЗАХСТАН, АКМОЛИНСКАЯ, СТЕПНОГОРСК, 35, 13</v>
      </c>
      <c r="S311" t="str">
        <f>"ҚАЗАҚСТАН, АҚМОЛА, СТЕПНОГОР, 35, 13"</f>
        <v>ҚАЗАҚСТАН, АҚМОЛА, СТЕПНОГОР, 35, 13</v>
      </c>
      <c r="T311" t="str">
        <f>"35, 13"</f>
        <v>35, 13</v>
      </c>
      <c r="U311" t="str">
        <f>"35, 13"</f>
        <v>35, 13</v>
      </c>
      <c r="AC311" t="str">
        <f t="shared" si="8"/>
        <v>2019-08-29T00:00:00</v>
      </c>
      <c r="AD311" t="str">
        <f t="shared" si="9"/>
        <v>160</v>
      </c>
      <c r="AG311" t="s">
        <v>202</v>
      </c>
      <c r="AI311" t="s">
        <v>299</v>
      </c>
      <c r="AJ311" t="s">
        <v>501</v>
      </c>
      <c r="AK311" t="s">
        <v>205</v>
      </c>
      <c r="AL311" t="s">
        <v>206</v>
      </c>
      <c r="AN311" t="s">
        <v>207</v>
      </c>
      <c r="AO311">
        <v>1</v>
      </c>
      <c r="AP311" t="s">
        <v>208</v>
      </c>
      <c r="AQ311" t="s">
        <v>209</v>
      </c>
      <c r="AR311" t="s">
        <v>502</v>
      </c>
      <c r="AW311" t="s">
        <v>212</v>
      </c>
      <c r="AZ311" t="s">
        <v>209</v>
      </c>
      <c r="BI311" t="s">
        <v>212</v>
      </c>
      <c r="BJ311" t="s">
        <v>213</v>
      </c>
      <c r="BK311" t="s">
        <v>214</v>
      </c>
      <c r="BL311" t="s">
        <v>357</v>
      </c>
      <c r="BN311" t="s">
        <v>281</v>
      </c>
      <c r="BO311" t="s">
        <v>209</v>
      </c>
      <c r="BP311" t="s">
        <v>415</v>
      </c>
      <c r="BQ311" t="s">
        <v>493</v>
      </c>
      <c r="BS311" t="s">
        <v>219</v>
      </c>
      <c r="BT311" t="s">
        <v>220</v>
      </c>
      <c r="BU311" t="s">
        <v>206</v>
      </c>
      <c r="BX311" t="s">
        <v>221</v>
      </c>
      <c r="BY311" t="s">
        <v>221</v>
      </c>
      <c r="BZ311" t="s">
        <v>503</v>
      </c>
      <c r="CA311" t="s">
        <v>287</v>
      </c>
      <c r="CC311" t="s">
        <v>222</v>
      </c>
      <c r="CD311" t="s">
        <v>223</v>
      </c>
      <c r="CE311" t="s">
        <v>242</v>
      </c>
      <c r="CJ311" t="s">
        <v>206</v>
      </c>
      <c r="CK311" t="s">
        <v>230</v>
      </c>
      <c r="CL311" t="s">
        <v>231</v>
      </c>
      <c r="CM311" t="s">
        <v>232</v>
      </c>
      <c r="CN311" t="s">
        <v>233</v>
      </c>
      <c r="CP311" t="s">
        <v>212</v>
      </c>
      <c r="CQ311" t="s">
        <v>212</v>
      </c>
      <c r="CR311" t="s">
        <v>212</v>
      </c>
      <c r="CS311" t="s">
        <v>212</v>
      </c>
      <c r="CY311" t="s">
        <v>212</v>
      </c>
      <c r="DB311" t="s">
        <v>234</v>
      </c>
      <c r="DE311" t="s">
        <v>212</v>
      </c>
      <c r="DF311" t="s">
        <v>212</v>
      </c>
      <c r="DG311" t="s">
        <v>235</v>
      </c>
      <c r="DH311" t="s">
        <v>212</v>
      </c>
      <c r="DJ311" t="s">
        <v>236</v>
      </c>
      <c r="DM311" t="s">
        <v>212</v>
      </c>
    </row>
    <row r="312" spans="1:184" x14ac:dyDescent="0.3">
      <c r="A312">
        <v>13263886</v>
      </c>
      <c r="B312">
        <v>838105</v>
      </c>
      <c r="C312" t="str">
        <f>"130405602836"</f>
        <v>130405602836</v>
      </c>
      <c r="D312" t="s">
        <v>1125</v>
      </c>
      <c r="E312" t="s">
        <v>516</v>
      </c>
      <c r="F312" t="s">
        <v>406</v>
      </c>
      <c r="G312" s="1">
        <v>41369</v>
      </c>
      <c r="I312" t="s">
        <v>199</v>
      </c>
      <c r="J312" t="s">
        <v>200</v>
      </c>
      <c r="K312" t="s">
        <v>260</v>
      </c>
      <c r="Q312" t="s">
        <v>212</v>
      </c>
      <c r="R312" t="str">
        <f>"КАЗАХСТАН, АКМОЛИНСКАЯ, СТЕПНОГОРСК, 87, 20"</f>
        <v>КАЗАХСТАН, АКМОЛИНСКАЯ, СТЕПНОГОРСК, 87, 20</v>
      </c>
      <c r="S312" t="str">
        <f>"ҚАЗАҚСТАН, АҚМОЛА, СТЕПНОГОР, 87, 20"</f>
        <v>ҚАЗАҚСТАН, АҚМОЛА, СТЕПНОГОР, 87, 20</v>
      </c>
      <c r="T312" t="str">
        <f>"87, 20"</f>
        <v>87, 20</v>
      </c>
      <c r="U312" t="str">
        <f>"87, 20"</f>
        <v>87, 20</v>
      </c>
      <c r="AC312" t="str">
        <f t="shared" si="8"/>
        <v>2019-08-29T00:00:00</v>
      </c>
      <c r="AD312" t="str">
        <f t="shared" si="9"/>
        <v>160</v>
      </c>
      <c r="AG312" t="s">
        <v>202</v>
      </c>
      <c r="AI312" t="s">
        <v>274</v>
      </c>
      <c r="AJ312" t="s">
        <v>501</v>
      </c>
      <c r="AK312" t="s">
        <v>205</v>
      </c>
      <c r="AL312" t="s">
        <v>206</v>
      </c>
      <c r="AN312" t="s">
        <v>207</v>
      </c>
      <c r="AO312">
        <v>1</v>
      </c>
      <c r="AP312" t="s">
        <v>208</v>
      </c>
      <c r="AQ312" t="s">
        <v>209</v>
      </c>
      <c r="AR312" t="s">
        <v>502</v>
      </c>
      <c r="AW312" t="s">
        <v>212</v>
      </c>
      <c r="AZ312" t="s">
        <v>209</v>
      </c>
      <c r="BI312" t="s">
        <v>212</v>
      </c>
      <c r="BJ312" t="s">
        <v>213</v>
      </c>
      <c r="BK312" t="s">
        <v>214</v>
      </c>
      <c r="BL312" t="s">
        <v>357</v>
      </c>
      <c r="BN312" t="s">
        <v>281</v>
      </c>
      <c r="BO312" t="s">
        <v>209</v>
      </c>
      <c r="BP312" t="s">
        <v>241</v>
      </c>
      <c r="BQ312">
        <v>5</v>
      </c>
      <c r="BS312" t="s">
        <v>219</v>
      </c>
      <c r="BT312" t="s">
        <v>220</v>
      </c>
      <c r="BU312" t="s">
        <v>206</v>
      </c>
      <c r="BX312" t="s">
        <v>221</v>
      </c>
      <c r="BY312" t="s">
        <v>221</v>
      </c>
      <c r="BZ312" t="s">
        <v>503</v>
      </c>
      <c r="CA312" t="s">
        <v>222</v>
      </c>
      <c r="CB312" t="s">
        <v>223</v>
      </c>
      <c r="CC312" t="s">
        <v>209</v>
      </c>
      <c r="CE312" t="s">
        <v>242</v>
      </c>
      <c r="CJ312" t="s">
        <v>206</v>
      </c>
      <c r="CK312" t="s">
        <v>230</v>
      </c>
      <c r="CL312" t="s">
        <v>231</v>
      </c>
      <c r="CM312" t="s">
        <v>232</v>
      </c>
      <c r="CN312" t="s">
        <v>233</v>
      </c>
      <c r="CP312" t="s">
        <v>212</v>
      </c>
      <c r="CQ312" t="s">
        <v>212</v>
      </c>
      <c r="CR312" t="s">
        <v>212</v>
      </c>
      <c r="CS312" t="s">
        <v>212</v>
      </c>
      <c r="CY312" t="s">
        <v>212</v>
      </c>
      <c r="DB312" t="s">
        <v>234</v>
      </c>
      <c r="DE312" t="s">
        <v>212</v>
      </c>
      <c r="DF312" t="s">
        <v>212</v>
      </c>
      <c r="DG312" t="s">
        <v>235</v>
      </c>
      <c r="DH312" t="s">
        <v>212</v>
      </c>
      <c r="DJ312" t="s">
        <v>236</v>
      </c>
      <c r="DM312" t="s">
        <v>212</v>
      </c>
    </row>
    <row r="313" spans="1:184" x14ac:dyDescent="0.3">
      <c r="A313">
        <v>13263829</v>
      </c>
      <c r="B313">
        <v>767214</v>
      </c>
      <c r="C313" t="str">
        <f>"130108501748"</f>
        <v>130108501748</v>
      </c>
      <c r="D313" t="s">
        <v>1126</v>
      </c>
      <c r="E313" t="s">
        <v>1127</v>
      </c>
      <c r="F313" t="s">
        <v>294</v>
      </c>
      <c r="G313" s="1">
        <v>41282</v>
      </c>
      <c r="I313" t="s">
        <v>240</v>
      </c>
      <c r="J313" t="s">
        <v>200</v>
      </c>
      <c r="K313" t="s">
        <v>369</v>
      </c>
      <c r="Q313" t="s">
        <v>212</v>
      </c>
      <c r="R313" t="str">
        <f>"КАЗАХСТАН, АКМОЛИНСКАЯ, СТЕПНОГОРСК, 18, 811"</f>
        <v>КАЗАХСТАН, АКМОЛИНСКАЯ, СТЕПНОГОРСК, 18, 811</v>
      </c>
      <c r="S313" t="str">
        <f>"ҚАЗАҚСТАН, АҚМОЛА, СТЕПНОГОР, 18, 811"</f>
        <v>ҚАЗАҚСТАН, АҚМОЛА, СТЕПНОГОР, 18, 811</v>
      </c>
      <c r="T313" t="str">
        <f>"18, 811"</f>
        <v>18, 811</v>
      </c>
      <c r="U313" t="str">
        <f>"18, 811"</f>
        <v>18, 811</v>
      </c>
      <c r="AC313" t="str">
        <f t="shared" si="8"/>
        <v>2019-08-29T00:00:00</v>
      </c>
      <c r="AD313" t="str">
        <f t="shared" si="9"/>
        <v>160</v>
      </c>
      <c r="AG313" t="s">
        <v>202</v>
      </c>
      <c r="AI313" t="s">
        <v>274</v>
      </c>
      <c r="AJ313" t="s">
        <v>501</v>
      </c>
      <c r="AK313" t="s">
        <v>205</v>
      </c>
      <c r="AL313" t="s">
        <v>206</v>
      </c>
      <c r="AN313" t="s">
        <v>207</v>
      </c>
      <c r="AO313">
        <v>1</v>
      </c>
      <c r="AP313" t="s">
        <v>208</v>
      </c>
      <c r="AQ313" t="s">
        <v>209</v>
      </c>
      <c r="AR313" t="s">
        <v>502</v>
      </c>
      <c r="AW313" t="s">
        <v>212</v>
      </c>
      <c r="AZ313" t="s">
        <v>209</v>
      </c>
      <c r="BI313" t="s">
        <v>212</v>
      </c>
      <c r="BJ313" t="s">
        <v>213</v>
      </c>
      <c r="BK313" t="s">
        <v>214</v>
      </c>
      <c r="BL313" t="s">
        <v>357</v>
      </c>
      <c r="BN313" t="s">
        <v>247</v>
      </c>
      <c r="BO313" t="s">
        <v>209</v>
      </c>
      <c r="BP313" t="s">
        <v>241</v>
      </c>
      <c r="BQ313">
        <v>3</v>
      </c>
      <c r="BS313" t="s">
        <v>219</v>
      </c>
      <c r="BT313" t="s">
        <v>220</v>
      </c>
      <c r="BU313" t="s">
        <v>206</v>
      </c>
      <c r="BX313" t="s">
        <v>234</v>
      </c>
      <c r="BY313" t="s">
        <v>234</v>
      </c>
      <c r="BZ313" t="s">
        <v>503</v>
      </c>
      <c r="CA313" t="s">
        <v>287</v>
      </c>
      <c r="CC313" t="s">
        <v>222</v>
      </c>
      <c r="CD313" t="s">
        <v>223</v>
      </c>
      <c r="CE313" t="s">
        <v>242</v>
      </c>
      <c r="CJ313" t="s">
        <v>206</v>
      </c>
      <c r="CK313" t="s">
        <v>230</v>
      </c>
      <c r="CL313" t="s">
        <v>231</v>
      </c>
      <c r="CM313" t="s">
        <v>232</v>
      </c>
      <c r="CN313" t="s">
        <v>233</v>
      </c>
      <c r="CP313" t="s">
        <v>212</v>
      </c>
      <c r="CQ313" t="s">
        <v>212</v>
      </c>
      <c r="CR313" t="s">
        <v>212</v>
      </c>
      <c r="CS313" t="s">
        <v>212</v>
      </c>
      <c r="CY313" t="s">
        <v>212</v>
      </c>
      <c r="DB313" t="s">
        <v>234</v>
      </c>
      <c r="DE313" t="s">
        <v>212</v>
      </c>
      <c r="DF313" t="s">
        <v>212</v>
      </c>
      <c r="DG313" t="s">
        <v>235</v>
      </c>
      <c r="DH313" t="s">
        <v>212</v>
      </c>
      <c r="DJ313" t="s">
        <v>236</v>
      </c>
      <c r="DM313" t="s">
        <v>212</v>
      </c>
    </row>
    <row r="314" spans="1:184" x14ac:dyDescent="0.3">
      <c r="A314">
        <v>13263763</v>
      </c>
      <c r="B314">
        <v>938835</v>
      </c>
      <c r="C314" t="str">
        <f>"130215604136"</f>
        <v>130215604136</v>
      </c>
      <c r="D314" t="s">
        <v>1128</v>
      </c>
      <c r="E314" t="s">
        <v>1129</v>
      </c>
      <c r="F314" t="s">
        <v>1064</v>
      </c>
      <c r="G314" s="1">
        <v>41320</v>
      </c>
      <c r="I314" t="s">
        <v>199</v>
      </c>
      <c r="J314" t="s">
        <v>200</v>
      </c>
      <c r="K314" t="s">
        <v>260</v>
      </c>
      <c r="Q314" t="s">
        <v>212</v>
      </c>
      <c r="R314" t="str">
        <f>"КАЗАХСТАН, АКМОЛИНСКАЯ, СТЕПНОГОРСК, -, 12, 81"</f>
        <v>КАЗАХСТАН, АКМОЛИНСКАЯ, СТЕПНОГОРСК, -, 12, 81</v>
      </c>
      <c r="S314" t="str">
        <f>"ҚАЗАҚСТАН, АҚМОЛА, СТЕПНОГОР, -, 12, 81"</f>
        <v>ҚАЗАҚСТАН, АҚМОЛА, СТЕПНОГОР, -, 12, 81</v>
      </c>
      <c r="T314" t="str">
        <f>"-, 12, 81"</f>
        <v>-, 12, 81</v>
      </c>
      <c r="U314" t="str">
        <f>"-, 12, 81"</f>
        <v>-, 12, 81</v>
      </c>
      <c r="AC314" t="str">
        <f>"2024-01-05T00:00:00"</f>
        <v>2024-01-05T00:00:00</v>
      </c>
      <c r="AD314" t="str">
        <f>"2"</f>
        <v>2</v>
      </c>
      <c r="AE314" t="str">
        <f>"2023-09-01T14:16:29"</f>
        <v>2023-09-01T14:16:29</v>
      </c>
      <c r="AF314" t="str">
        <f>"2024-05-25T14:16:29"</f>
        <v>2024-05-25T14:16:29</v>
      </c>
      <c r="AG314" t="s">
        <v>202</v>
      </c>
      <c r="AI314" t="s">
        <v>274</v>
      </c>
      <c r="AJ314" t="s">
        <v>419</v>
      </c>
      <c r="AK314" t="s">
        <v>261</v>
      </c>
      <c r="AL314" t="s">
        <v>206</v>
      </c>
      <c r="AN314" t="s">
        <v>207</v>
      </c>
      <c r="AO314">
        <v>1</v>
      </c>
      <c r="AP314" t="s">
        <v>208</v>
      </c>
      <c r="AQ314" t="s">
        <v>209</v>
      </c>
      <c r="AR314" t="s">
        <v>210</v>
      </c>
      <c r="AW314" t="s">
        <v>206</v>
      </c>
      <c r="AX314" t="s">
        <v>211</v>
      </c>
      <c r="AZ314" t="s">
        <v>209</v>
      </c>
      <c r="BI314" t="s">
        <v>212</v>
      </c>
      <c r="BJ314" t="s">
        <v>213</v>
      </c>
      <c r="BK314" t="s">
        <v>214</v>
      </c>
      <c r="BL314" t="s">
        <v>215</v>
      </c>
      <c r="BN314" t="s">
        <v>247</v>
      </c>
      <c r="BO314" t="s">
        <v>209</v>
      </c>
      <c r="BP314" t="s">
        <v>415</v>
      </c>
      <c r="BQ314" t="s">
        <v>1130</v>
      </c>
      <c r="BS314" t="s">
        <v>219</v>
      </c>
      <c r="BT314" t="s">
        <v>220</v>
      </c>
      <c r="BU314" t="s">
        <v>206</v>
      </c>
      <c r="BX314" t="s">
        <v>221</v>
      </c>
      <c r="BY314" t="s">
        <v>221</v>
      </c>
      <c r="CA314" t="s">
        <v>287</v>
      </c>
      <c r="CC314" t="s">
        <v>222</v>
      </c>
      <c r="CD314" t="s">
        <v>223</v>
      </c>
      <c r="CE314" t="s">
        <v>242</v>
      </c>
      <c r="CJ314" t="s">
        <v>206</v>
      </c>
      <c r="CK314" t="s">
        <v>230</v>
      </c>
      <c r="CL314" t="s">
        <v>231</v>
      </c>
      <c r="CM314" t="s">
        <v>232</v>
      </c>
      <c r="CN314" t="s">
        <v>233</v>
      </c>
      <c r="CP314" t="s">
        <v>212</v>
      </c>
      <c r="CQ314" t="s">
        <v>212</v>
      </c>
      <c r="CR314" t="s">
        <v>212</v>
      </c>
      <c r="CS314" t="s">
        <v>212</v>
      </c>
      <c r="CY314" t="s">
        <v>212</v>
      </c>
      <c r="DB314" t="s">
        <v>234</v>
      </c>
      <c r="DE314" t="s">
        <v>212</v>
      </c>
      <c r="DF314" t="s">
        <v>212</v>
      </c>
      <c r="DG314" t="s">
        <v>235</v>
      </c>
      <c r="DH314" t="s">
        <v>212</v>
      </c>
      <c r="DJ314" t="s">
        <v>236</v>
      </c>
      <c r="DM314" t="s">
        <v>212</v>
      </c>
    </row>
    <row r="315" spans="1:184" x14ac:dyDescent="0.3">
      <c r="A315">
        <v>13263736</v>
      </c>
      <c r="B315">
        <v>837965</v>
      </c>
      <c r="C315" t="str">
        <f>"130625501134"</f>
        <v>130625501134</v>
      </c>
      <c r="D315" t="s">
        <v>1131</v>
      </c>
      <c r="E315" t="s">
        <v>860</v>
      </c>
      <c r="F315" t="s">
        <v>1045</v>
      </c>
      <c r="G315" s="1">
        <v>41450</v>
      </c>
      <c r="I315" t="s">
        <v>240</v>
      </c>
      <c r="J315" t="s">
        <v>200</v>
      </c>
      <c r="K315" t="s">
        <v>268</v>
      </c>
      <c r="Q315" t="s">
        <v>212</v>
      </c>
      <c r="R315" t="str">
        <f>"КАЗАХСТАН, АКМОЛИНСКАЯ, СТЕПНОГОРСК, 41, 11"</f>
        <v>КАЗАХСТАН, АКМОЛИНСКАЯ, СТЕПНОГОРСК, 41, 11</v>
      </c>
      <c r="S315" t="str">
        <f>"ҚАЗАҚСТАН, АҚМОЛА, СТЕПНОГОР, 41, 11"</f>
        <v>ҚАЗАҚСТАН, АҚМОЛА, СТЕПНОГОР, 41, 11</v>
      </c>
      <c r="T315" t="str">
        <f>"41, 11"</f>
        <v>41, 11</v>
      </c>
      <c r="U315" t="str">
        <f>"41, 11"</f>
        <v>41, 11</v>
      </c>
      <c r="AC315" t="str">
        <f>"2019-08-22T00:00:00"</f>
        <v>2019-08-22T00:00:00</v>
      </c>
      <c r="AD315" t="str">
        <f>"145"</f>
        <v>145</v>
      </c>
      <c r="AE315" t="str">
        <f>"2023-09-01T23:46:08"</f>
        <v>2023-09-01T23:46:08</v>
      </c>
      <c r="AF315" t="str">
        <f>"2024-05-25T23:46:08"</f>
        <v>2024-05-25T23:46:08</v>
      </c>
      <c r="AG315" t="s">
        <v>202</v>
      </c>
      <c r="AI315" t="s">
        <v>274</v>
      </c>
      <c r="AJ315" t="s">
        <v>501</v>
      </c>
      <c r="AK315" t="s">
        <v>205</v>
      </c>
      <c r="AL315" t="s">
        <v>206</v>
      </c>
      <c r="AN315" t="s">
        <v>207</v>
      </c>
      <c r="AO315">
        <v>1</v>
      </c>
      <c r="AP315" t="s">
        <v>208</v>
      </c>
      <c r="AQ315" t="s">
        <v>209</v>
      </c>
      <c r="AR315" t="s">
        <v>502</v>
      </c>
      <c r="AW315" t="s">
        <v>212</v>
      </c>
      <c r="AZ315" t="s">
        <v>209</v>
      </c>
      <c r="BI315" t="s">
        <v>212</v>
      </c>
      <c r="BJ315" t="s">
        <v>213</v>
      </c>
      <c r="BK315" t="s">
        <v>214</v>
      </c>
      <c r="BL315" t="s">
        <v>357</v>
      </c>
      <c r="BN315" t="s">
        <v>247</v>
      </c>
      <c r="BO315" t="s">
        <v>209</v>
      </c>
      <c r="BP315" t="s">
        <v>241</v>
      </c>
      <c r="BQ315">
        <v>3</v>
      </c>
      <c r="BS315" t="s">
        <v>219</v>
      </c>
      <c r="BT315" t="s">
        <v>220</v>
      </c>
      <c r="BU315" t="s">
        <v>206</v>
      </c>
      <c r="BX315" t="s">
        <v>234</v>
      </c>
      <c r="BY315" t="s">
        <v>234</v>
      </c>
      <c r="BZ315" t="s">
        <v>503</v>
      </c>
      <c r="CA315" t="s">
        <v>287</v>
      </c>
      <c r="CC315" t="s">
        <v>222</v>
      </c>
      <c r="CD315" t="s">
        <v>223</v>
      </c>
      <c r="CE315" t="s">
        <v>242</v>
      </c>
      <c r="CJ315" t="s">
        <v>206</v>
      </c>
      <c r="CK315" t="s">
        <v>230</v>
      </c>
      <c r="CL315" t="s">
        <v>231</v>
      </c>
      <c r="CM315" t="s">
        <v>232</v>
      </c>
      <c r="CN315" t="s">
        <v>233</v>
      </c>
      <c r="CP315" t="s">
        <v>212</v>
      </c>
      <c r="CQ315" t="s">
        <v>212</v>
      </c>
      <c r="CR315" t="s">
        <v>212</v>
      </c>
      <c r="CS315" t="s">
        <v>212</v>
      </c>
      <c r="CY315" t="s">
        <v>212</v>
      </c>
      <c r="DB315" t="s">
        <v>234</v>
      </c>
      <c r="DE315" t="s">
        <v>212</v>
      </c>
      <c r="DF315" t="s">
        <v>212</v>
      </c>
      <c r="DG315" t="s">
        <v>235</v>
      </c>
      <c r="DH315" t="s">
        <v>212</v>
      </c>
      <c r="DJ315" t="s">
        <v>236</v>
      </c>
      <c r="DM315" t="s">
        <v>212</v>
      </c>
    </row>
    <row r="316" spans="1:184" x14ac:dyDescent="0.3">
      <c r="A316">
        <v>13263725</v>
      </c>
      <c r="B316">
        <v>8943841</v>
      </c>
      <c r="C316" t="str">
        <f>"111108604946"</f>
        <v>111108604946</v>
      </c>
      <c r="D316" t="s">
        <v>1132</v>
      </c>
      <c r="E316" t="s">
        <v>789</v>
      </c>
      <c r="F316" t="s">
        <v>1133</v>
      </c>
      <c r="G316" s="1">
        <v>40855</v>
      </c>
      <c r="I316" t="s">
        <v>199</v>
      </c>
      <c r="J316" t="s">
        <v>200</v>
      </c>
      <c r="K316" t="s">
        <v>260</v>
      </c>
      <c r="Q316" t="s">
        <v>212</v>
      </c>
      <c r="R316" t="str">
        <f>"КАЗАХСТАН, АКМОЛИНСКАЯ, СТЕПНОГОРСК, 18, 42"</f>
        <v>КАЗАХСТАН, АКМОЛИНСКАЯ, СТЕПНОГОРСК, 18, 42</v>
      </c>
      <c r="S316" t="str">
        <f>"ҚАЗАҚСТАН, АҚМОЛА, СТЕПНОГОР, 18, 42"</f>
        <v>ҚАЗАҚСТАН, АҚМОЛА, СТЕПНОГОР, 18, 42</v>
      </c>
      <c r="T316" t="str">
        <f>"18, 42"</f>
        <v>18, 42</v>
      </c>
      <c r="U316" t="str">
        <f>"18, 42"</f>
        <v>18, 42</v>
      </c>
      <c r="AC316" t="str">
        <f>"2019-08-13T00:00:00"</f>
        <v>2019-08-13T00:00:00</v>
      </c>
      <c r="AD316" t="str">
        <f>"134"</f>
        <v>134</v>
      </c>
      <c r="AG316" t="s">
        <v>202</v>
      </c>
      <c r="AI316" t="s">
        <v>274</v>
      </c>
      <c r="AJ316" t="s">
        <v>419</v>
      </c>
      <c r="AK316" t="s">
        <v>246</v>
      </c>
      <c r="AL316" t="s">
        <v>206</v>
      </c>
      <c r="AN316" t="s">
        <v>207</v>
      </c>
      <c r="AO316">
        <v>1</v>
      </c>
      <c r="AP316" t="s">
        <v>208</v>
      </c>
      <c r="AQ316" t="s">
        <v>209</v>
      </c>
      <c r="AR316" t="s">
        <v>210</v>
      </c>
      <c r="AW316" t="s">
        <v>206</v>
      </c>
      <c r="AX316" t="s">
        <v>211</v>
      </c>
      <c r="AZ316" t="s">
        <v>209</v>
      </c>
      <c r="BI316" t="s">
        <v>212</v>
      </c>
      <c r="BJ316" t="s">
        <v>213</v>
      </c>
      <c r="BK316" t="s">
        <v>214</v>
      </c>
      <c r="BL316" t="s">
        <v>215</v>
      </c>
      <c r="BN316" t="s">
        <v>216</v>
      </c>
      <c r="BO316" t="s">
        <v>209</v>
      </c>
      <c r="BP316" t="s">
        <v>241</v>
      </c>
      <c r="BQ316">
        <v>4</v>
      </c>
      <c r="BS316" t="s">
        <v>219</v>
      </c>
      <c r="BT316" t="s">
        <v>220</v>
      </c>
      <c r="BU316" t="s">
        <v>206</v>
      </c>
      <c r="BX316" t="s">
        <v>221</v>
      </c>
      <c r="BY316" t="s">
        <v>221</v>
      </c>
      <c r="CA316" t="s">
        <v>287</v>
      </c>
      <c r="CC316" t="s">
        <v>222</v>
      </c>
      <c r="CD316" t="s">
        <v>223</v>
      </c>
      <c r="CE316" t="s">
        <v>242</v>
      </c>
      <c r="CJ316" t="s">
        <v>206</v>
      </c>
      <c r="CK316" t="s">
        <v>230</v>
      </c>
      <c r="CL316" t="s">
        <v>231</v>
      </c>
      <c r="CM316" t="s">
        <v>232</v>
      </c>
      <c r="CN316" t="s">
        <v>233</v>
      </c>
      <c r="CP316" t="s">
        <v>212</v>
      </c>
      <c r="CQ316" t="s">
        <v>212</v>
      </c>
      <c r="CR316" t="s">
        <v>212</v>
      </c>
      <c r="CS316" t="s">
        <v>212</v>
      </c>
      <c r="CY316" t="s">
        <v>212</v>
      </c>
      <c r="DB316" t="s">
        <v>234</v>
      </c>
      <c r="DE316" t="s">
        <v>212</v>
      </c>
      <c r="DF316" t="s">
        <v>212</v>
      </c>
      <c r="DG316" t="s">
        <v>235</v>
      </c>
      <c r="DH316" t="s">
        <v>212</v>
      </c>
      <c r="DJ316" t="s">
        <v>236</v>
      </c>
      <c r="DM316" t="s">
        <v>212</v>
      </c>
    </row>
    <row r="317" spans="1:184" x14ac:dyDescent="0.3">
      <c r="A317">
        <v>13263711</v>
      </c>
      <c r="B317">
        <v>820218</v>
      </c>
      <c r="C317" t="str">
        <f>"120906602977"</f>
        <v>120906602977</v>
      </c>
      <c r="D317" t="s">
        <v>1134</v>
      </c>
      <c r="E317" t="s">
        <v>1135</v>
      </c>
      <c r="F317" t="s">
        <v>406</v>
      </c>
      <c r="G317" s="1">
        <v>41158</v>
      </c>
      <c r="I317" t="s">
        <v>199</v>
      </c>
      <c r="J317" t="s">
        <v>200</v>
      </c>
      <c r="K317" t="s">
        <v>260</v>
      </c>
      <c r="Q317" t="s">
        <v>212</v>
      </c>
      <c r="R317" t="str">
        <f>"КАЗАХСТАН, АКМОЛИНСКАЯ, СТЕПНОГОРСК, 30, 135"</f>
        <v>КАЗАХСТАН, АКМОЛИНСКАЯ, СТЕПНОГОРСК, 30, 135</v>
      </c>
      <c r="S317" t="str">
        <f>"ҚАЗАҚСТАН, АҚМОЛА, СТЕПНОГОР, 30, 135"</f>
        <v>ҚАЗАҚСТАН, АҚМОЛА, СТЕПНОГОР, 30, 135</v>
      </c>
      <c r="T317" t="str">
        <f>"30, 135"</f>
        <v>30, 135</v>
      </c>
      <c r="U317" t="str">
        <f>"30, 135"</f>
        <v>30, 135</v>
      </c>
      <c r="AC317" t="str">
        <f>"2024-01-05T00:00:00"</f>
        <v>2024-01-05T00:00:00</v>
      </c>
      <c r="AD317" t="str">
        <f>"3"</f>
        <v>3</v>
      </c>
      <c r="AE317" t="str">
        <f>"2023-09-01T14:17:20"</f>
        <v>2023-09-01T14:17:20</v>
      </c>
      <c r="AF317" t="str">
        <f>"2024-05-25T14:17:20"</f>
        <v>2024-05-25T14:17:20</v>
      </c>
      <c r="AG317" t="s">
        <v>202</v>
      </c>
      <c r="AI317" t="s">
        <v>299</v>
      </c>
      <c r="AJ317" t="s">
        <v>419</v>
      </c>
      <c r="AK317" t="s">
        <v>261</v>
      </c>
      <c r="AL317" t="s">
        <v>206</v>
      </c>
      <c r="AN317" t="s">
        <v>207</v>
      </c>
      <c r="AO317">
        <v>1</v>
      </c>
      <c r="AP317" t="s">
        <v>208</v>
      </c>
      <c r="AQ317" t="s">
        <v>209</v>
      </c>
      <c r="AR317" t="s">
        <v>412</v>
      </c>
      <c r="AW317" t="s">
        <v>206</v>
      </c>
      <c r="AX317" t="s">
        <v>211</v>
      </c>
      <c r="AZ317" t="s">
        <v>209</v>
      </c>
      <c r="BI317" t="s">
        <v>212</v>
      </c>
      <c r="BJ317" t="s">
        <v>213</v>
      </c>
      <c r="BK317" t="s">
        <v>214</v>
      </c>
      <c r="BL317" t="s">
        <v>215</v>
      </c>
      <c r="BN317" t="s">
        <v>247</v>
      </c>
      <c r="BO317" t="s">
        <v>209</v>
      </c>
      <c r="BP317" t="s">
        <v>241</v>
      </c>
      <c r="BQ317">
        <v>3</v>
      </c>
      <c r="BS317" t="s">
        <v>219</v>
      </c>
      <c r="BT317" t="s">
        <v>220</v>
      </c>
      <c r="BU317" t="s">
        <v>206</v>
      </c>
      <c r="BX317" t="s">
        <v>221</v>
      </c>
      <c r="BY317" t="s">
        <v>221</v>
      </c>
      <c r="CA317" t="s">
        <v>287</v>
      </c>
      <c r="CC317" t="s">
        <v>222</v>
      </c>
      <c r="CD317" t="s">
        <v>223</v>
      </c>
      <c r="CE317" t="s">
        <v>242</v>
      </c>
      <c r="CJ317" t="s">
        <v>206</v>
      </c>
      <c r="CK317" t="s">
        <v>230</v>
      </c>
      <c r="CL317" t="s">
        <v>231</v>
      </c>
      <c r="CM317" t="s">
        <v>232</v>
      </c>
      <c r="CN317" t="s">
        <v>233</v>
      </c>
      <c r="CP317" t="s">
        <v>212</v>
      </c>
      <c r="CQ317" t="s">
        <v>212</v>
      </c>
      <c r="CR317" t="s">
        <v>212</v>
      </c>
      <c r="CS317" t="s">
        <v>212</v>
      </c>
      <c r="CY317" t="s">
        <v>212</v>
      </c>
      <c r="DB317" t="s">
        <v>234</v>
      </c>
      <c r="DE317" t="s">
        <v>212</v>
      </c>
      <c r="DF317" t="s">
        <v>212</v>
      </c>
      <c r="DG317" t="s">
        <v>235</v>
      </c>
      <c r="DH317" t="s">
        <v>212</v>
      </c>
      <c r="DJ317" t="s">
        <v>236</v>
      </c>
      <c r="DM317" t="s">
        <v>212</v>
      </c>
    </row>
    <row r="318" spans="1:184" x14ac:dyDescent="0.3">
      <c r="A318">
        <v>13263690</v>
      </c>
      <c r="B318">
        <v>282443</v>
      </c>
      <c r="C318" t="str">
        <f>"121202503657"</f>
        <v>121202503657</v>
      </c>
      <c r="D318" t="s">
        <v>1136</v>
      </c>
      <c r="E318" t="s">
        <v>520</v>
      </c>
      <c r="F318" t="s">
        <v>682</v>
      </c>
      <c r="G318" s="1">
        <v>41245</v>
      </c>
      <c r="I318" t="s">
        <v>240</v>
      </c>
      <c r="J318" t="s">
        <v>200</v>
      </c>
      <c r="K318" t="s">
        <v>260</v>
      </c>
      <c r="Q318" t="s">
        <v>212</v>
      </c>
      <c r="R318" t="str">
        <f>"КАЗАХСТАН, АКМОЛИНСКАЯ, СТЕПНОГОРСК, 32, 21"</f>
        <v>КАЗАХСТАН, АКМОЛИНСКАЯ, СТЕПНОГОРСК, 32, 21</v>
      </c>
      <c r="S318" t="str">
        <f>"ҚАЗАҚСТАН, АҚМОЛА, СТЕПНОГОР, 32, 21"</f>
        <v>ҚАЗАҚСТАН, АҚМОЛА, СТЕПНОГОР, 32, 21</v>
      </c>
      <c r="T318" t="str">
        <f>"32, 21"</f>
        <v>32, 21</v>
      </c>
      <c r="U318" t="str">
        <f>"32, 21"</f>
        <v>32, 21</v>
      </c>
      <c r="AC318" t="str">
        <f>"2019-08-28T00:00:00"</f>
        <v>2019-08-28T00:00:00</v>
      </c>
      <c r="AD318" t="str">
        <f>"160"</f>
        <v>160</v>
      </c>
      <c r="AG318" t="s">
        <v>202</v>
      </c>
      <c r="AI318" t="s">
        <v>299</v>
      </c>
      <c r="AJ318" t="s">
        <v>419</v>
      </c>
      <c r="AK318" t="s">
        <v>246</v>
      </c>
      <c r="AL318" t="s">
        <v>206</v>
      </c>
      <c r="AN318" t="s">
        <v>207</v>
      </c>
      <c r="AO318">
        <v>1</v>
      </c>
      <c r="AP318" t="s">
        <v>208</v>
      </c>
      <c r="AQ318" t="s">
        <v>209</v>
      </c>
      <c r="AR318" t="s">
        <v>210</v>
      </c>
      <c r="AW318" t="s">
        <v>206</v>
      </c>
      <c r="AX318" t="s">
        <v>211</v>
      </c>
      <c r="AZ318" t="s">
        <v>209</v>
      </c>
      <c r="BI318" t="s">
        <v>212</v>
      </c>
      <c r="BJ318" t="s">
        <v>213</v>
      </c>
      <c r="BK318" t="s">
        <v>214</v>
      </c>
      <c r="BL318" t="s">
        <v>215</v>
      </c>
      <c r="BN318" t="s">
        <v>216</v>
      </c>
      <c r="BO318" t="s">
        <v>209</v>
      </c>
      <c r="BP318" t="s">
        <v>241</v>
      </c>
      <c r="BQ318">
        <v>4</v>
      </c>
      <c r="BS318" t="s">
        <v>219</v>
      </c>
      <c r="BT318" t="s">
        <v>220</v>
      </c>
      <c r="BU318" t="s">
        <v>206</v>
      </c>
      <c r="BX318" t="s">
        <v>221</v>
      </c>
      <c r="BY318" t="s">
        <v>221</v>
      </c>
      <c r="CA318" t="s">
        <v>287</v>
      </c>
      <c r="CC318" t="s">
        <v>222</v>
      </c>
      <c r="CD318" t="s">
        <v>223</v>
      </c>
      <c r="CE318" t="s">
        <v>242</v>
      </c>
      <c r="CJ318" t="s">
        <v>206</v>
      </c>
      <c r="CK318" t="s">
        <v>230</v>
      </c>
      <c r="CL318" t="s">
        <v>231</v>
      </c>
      <c r="CM318" t="s">
        <v>232</v>
      </c>
      <c r="CN318" t="s">
        <v>233</v>
      </c>
      <c r="CP318" t="s">
        <v>212</v>
      </c>
      <c r="CQ318" t="s">
        <v>212</v>
      </c>
      <c r="CR318" t="s">
        <v>212</v>
      </c>
      <c r="CS318" t="s">
        <v>212</v>
      </c>
      <c r="CY318" t="s">
        <v>212</v>
      </c>
      <c r="DB318" t="s">
        <v>234</v>
      </c>
      <c r="DE318" t="s">
        <v>212</v>
      </c>
      <c r="DF318" t="s">
        <v>212</v>
      </c>
      <c r="DG318" t="s">
        <v>235</v>
      </c>
      <c r="DH318" t="s">
        <v>212</v>
      </c>
      <c r="DJ318" t="s">
        <v>236</v>
      </c>
      <c r="DM318" t="s">
        <v>212</v>
      </c>
    </row>
    <row r="319" spans="1:184" x14ac:dyDescent="0.3">
      <c r="A319">
        <v>25066568</v>
      </c>
      <c r="B319">
        <v>8924174</v>
      </c>
      <c r="C319" t="str">
        <f>"130210503789"</f>
        <v>130210503789</v>
      </c>
      <c r="D319" t="s">
        <v>1137</v>
      </c>
      <c r="E319" t="s">
        <v>425</v>
      </c>
      <c r="F319" t="s">
        <v>1138</v>
      </c>
      <c r="G319" s="1">
        <v>41315</v>
      </c>
      <c r="I319" t="s">
        <v>240</v>
      </c>
      <c r="J319" t="s">
        <v>200</v>
      </c>
      <c r="K319" t="s">
        <v>201</v>
      </c>
      <c r="R319" t="str">
        <f>"КАЗАХСТАН, АСТАНА, БАЙКОНЫРСКИЙ РАЙОН, ҚАЛА IШIНДЕГI АУДАНЫ Байконыр, 17/1, 39"</f>
        <v>КАЗАХСТАН, АСТАНА, БАЙКОНЫРСКИЙ РАЙОН, ҚАЛА IШIНДЕГI АУДАНЫ Байконыр, 17/1, 39</v>
      </c>
      <c r="S319" t="str">
        <f>"ҚАЗАҚСТАН, АСТАНА, БАЙҚОҢЫР АУДАНЫ, ҚАЛА IШIНДЕГI АУДАНЫ Байконыр, 17/1, 39"</f>
        <v>ҚАЗАҚСТАН, АСТАНА, БАЙҚОҢЫР АУДАНЫ, ҚАЛА IШIНДЕГI АУДАНЫ Байконыр, 17/1, 39</v>
      </c>
      <c r="T319" t="str">
        <f>"ҚАЛА IШIНДЕГI АУДАНЫ Байконыр, 17/1, 39"</f>
        <v>ҚАЛА IШIНДЕГI АУДАНЫ Байконыр, 17/1, 39</v>
      </c>
      <c r="U319" t="str">
        <f>"ҚАЛА IШIНДЕГI АУДАНЫ Байконыр, 17/1, 39"</f>
        <v>ҚАЛА IШIНДЕГI АУДАНЫ Байконыр, 17/1, 39</v>
      </c>
      <c r="AC319" t="str">
        <f>"2023-07-14T00:00:00"</f>
        <v>2023-07-14T00:00:00</v>
      </c>
      <c r="AD319" t="str">
        <f>"39/1"</f>
        <v>39/1</v>
      </c>
      <c r="AG319" t="s">
        <v>202</v>
      </c>
      <c r="AI319" t="s">
        <v>274</v>
      </c>
      <c r="AJ319" t="s">
        <v>419</v>
      </c>
      <c r="AK319" t="s">
        <v>253</v>
      </c>
      <c r="AL319" t="s">
        <v>206</v>
      </c>
      <c r="AN319" t="s">
        <v>254</v>
      </c>
      <c r="AO319">
        <v>1</v>
      </c>
      <c r="AP319" t="s">
        <v>208</v>
      </c>
      <c r="AQ319" t="s">
        <v>209</v>
      </c>
      <c r="AR319" t="s">
        <v>502</v>
      </c>
      <c r="AW319" t="s">
        <v>212</v>
      </c>
      <c r="AZ319" t="s">
        <v>209</v>
      </c>
      <c r="BI319" t="s">
        <v>212</v>
      </c>
      <c r="BJ319" t="s">
        <v>213</v>
      </c>
      <c r="BK319" t="s">
        <v>214</v>
      </c>
      <c r="BL319" t="s">
        <v>357</v>
      </c>
      <c r="BN319" t="s">
        <v>247</v>
      </c>
      <c r="BO319" t="s">
        <v>209</v>
      </c>
      <c r="BP319" t="s">
        <v>241</v>
      </c>
      <c r="BQ319">
        <v>3</v>
      </c>
      <c r="BS319" t="s">
        <v>219</v>
      </c>
      <c r="BT319" t="s">
        <v>220</v>
      </c>
      <c r="BU319" t="s">
        <v>206</v>
      </c>
      <c r="CA319" t="s">
        <v>287</v>
      </c>
      <c r="CC319" t="s">
        <v>282</v>
      </c>
      <c r="CD319" t="s">
        <v>223</v>
      </c>
      <c r="CE319" t="s">
        <v>242</v>
      </c>
      <c r="CJ319" t="s">
        <v>206</v>
      </c>
      <c r="CK319" t="s">
        <v>230</v>
      </c>
      <c r="CL319" t="s">
        <v>231</v>
      </c>
      <c r="CM319" t="s">
        <v>232</v>
      </c>
      <c r="CN319" t="s">
        <v>233</v>
      </c>
      <c r="CP319" t="s">
        <v>212</v>
      </c>
      <c r="CQ319" t="s">
        <v>212</v>
      </c>
      <c r="CR319" t="s">
        <v>212</v>
      </c>
      <c r="CS319" t="s">
        <v>212</v>
      </c>
      <c r="CY319" t="s">
        <v>212</v>
      </c>
      <c r="DB319" t="s">
        <v>234</v>
      </c>
      <c r="DE319" t="s">
        <v>212</v>
      </c>
      <c r="DF319" t="s">
        <v>212</v>
      </c>
      <c r="DG319" t="s">
        <v>235</v>
      </c>
      <c r="DH319" t="s">
        <v>212</v>
      </c>
      <c r="DJ319" t="s">
        <v>421</v>
      </c>
      <c r="DK319" t="s">
        <v>707</v>
      </c>
      <c r="DL319" t="s">
        <v>423</v>
      </c>
      <c r="DM319" t="s">
        <v>206</v>
      </c>
    </row>
    <row r="320" spans="1:184" x14ac:dyDescent="0.3">
      <c r="A320">
        <v>25066569</v>
      </c>
      <c r="B320">
        <v>107349</v>
      </c>
      <c r="C320" t="str">
        <f>"110810502055"</f>
        <v>110810502055</v>
      </c>
      <c r="D320" t="s">
        <v>1137</v>
      </c>
      <c r="E320" t="s">
        <v>1016</v>
      </c>
      <c r="F320" t="s">
        <v>1138</v>
      </c>
      <c r="G320" s="1">
        <v>40765</v>
      </c>
      <c r="I320" t="s">
        <v>240</v>
      </c>
      <c r="J320" t="s">
        <v>200</v>
      </c>
      <c r="K320" t="s">
        <v>201</v>
      </c>
      <c r="R320" t="str">
        <f>"КАЗАХСТАН, АСТАНА, БАЙКОНЫРСКИЙ РАЙОН, ҚАЛА IШIНДЕГI АУДАНЫ Байконыр, 17/1, 39"</f>
        <v>КАЗАХСТАН, АСТАНА, БАЙКОНЫРСКИЙ РАЙОН, ҚАЛА IШIНДЕГI АУДАНЫ Байконыр, 17/1, 39</v>
      </c>
      <c r="S320" t="str">
        <f>"ҚАЗАҚСТАН, АСТАНА, БАЙҚОҢЫР АУДАНЫ, ҚАЛА IШIНДЕГI АУДАНЫ Байконыр, 17/1, 39"</f>
        <v>ҚАЗАҚСТАН, АСТАНА, БАЙҚОҢЫР АУДАНЫ, ҚАЛА IШIНДЕГI АУДАНЫ Байконыр, 17/1, 39</v>
      </c>
      <c r="T320" t="str">
        <f>"ҚАЛА IШIНДЕГI АУДАНЫ Байконыр, 17/1, 39"</f>
        <v>ҚАЛА IШIНДЕГI АУДАНЫ Байконыр, 17/1, 39</v>
      </c>
      <c r="U320" t="str">
        <f>"ҚАЛА IШIНДЕГI АУДАНЫ Байконыр, 17/1, 39"</f>
        <v>ҚАЛА IШIНДЕГI АУДАНЫ Байконыр, 17/1, 39</v>
      </c>
      <c r="AC320" t="str">
        <f>"2023-07-14T00:00:00"</f>
        <v>2023-07-14T00:00:00</v>
      </c>
      <c r="AD320" t="str">
        <f>"39/1"</f>
        <v>39/1</v>
      </c>
      <c r="AG320" t="s">
        <v>202</v>
      </c>
      <c r="AI320" t="s">
        <v>299</v>
      </c>
      <c r="AJ320" t="s">
        <v>348</v>
      </c>
      <c r="AK320" t="s">
        <v>253</v>
      </c>
      <c r="AL320" t="s">
        <v>206</v>
      </c>
      <c r="AN320" t="s">
        <v>254</v>
      </c>
      <c r="AO320">
        <v>1</v>
      </c>
      <c r="AP320" t="s">
        <v>208</v>
      </c>
      <c r="AQ320" t="s">
        <v>209</v>
      </c>
      <c r="AR320" t="s">
        <v>502</v>
      </c>
      <c r="AW320" t="s">
        <v>212</v>
      </c>
      <c r="AZ320" t="s">
        <v>209</v>
      </c>
      <c r="BI320" t="s">
        <v>212</v>
      </c>
      <c r="BJ320" t="s">
        <v>213</v>
      </c>
      <c r="BK320" t="s">
        <v>214</v>
      </c>
      <c r="BL320" t="s">
        <v>357</v>
      </c>
      <c r="BN320" t="s">
        <v>216</v>
      </c>
      <c r="BO320" t="s">
        <v>209</v>
      </c>
      <c r="BP320" t="s">
        <v>241</v>
      </c>
      <c r="BQ320">
        <v>4</v>
      </c>
      <c r="BS320" t="s">
        <v>219</v>
      </c>
      <c r="BT320" t="s">
        <v>220</v>
      </c>
      <c r="BU320" t="s">
        <v>206</v>
      </c>
      <c r="CA320" t="s">
        <v>287</v>
      </c>
      <c r="CC320" t="s">
        <v>209</v>
      </c>
      <c r="CE320" t="s">
        <v>225</v>
      </c>
      <c r="CF320" t="s">
        <v>226</v>
      </c>
      <c r="CG320" t="s">
        <v>611</v>
      </c>
      <c r="CH320" t="s">
        <v>228</v>
      </c>
      <c r="CI320" t="s">
        <v>1139</v>
      </c>
      <c r="CJ320" t="s">
        <v>206</v>
      </c>
      <c r="CK320" t="s">
        <v>230</v>
      </c>
      <c r="CL320" t="s">
        <v>231</v>
      </c>
      <c r="CM320" t="s">
        <v>232</v>
      </c>
      <c r="CN320" t="s">
        <v>233</v>
      </c>
      <c r="CP320" t="s">
        <v>212</v>
      </c>
      <c r="CQ320" t="s">
        <v>212</v>
      </c>
      <c r="CR320" t="s">
        <v>212</v>
      </c>
      <c r="CS320" t="s">
        <v>212</v>
      </c>
      <c r="CY320" t="s">
        <v>212</v>
      </c>
      <c r="DB320" t="s">
        <v>234</v>
      </c>
      <c r="DE320" t="s">
        <v>212</v>
      </c>
      <c r="DF320" t="s">
        <v>212</v>
      </c>
      <c r="DG320" t="s">
        <v>235</v>
      </c>
      <c r="DH320" t="s">
        <v>212</v>
      </c>
      <c r="DJ320" t="s">
        <v>421</v>
      </c>
      <c r="DK320" t="s">
        <v>707</v>
      </c>
      <c r="DL320" t="s">
        <v>423</v>
      </c>
      <c r="DM320" t="s">
        <v>206</v>
      </c>
    </row>
    <row r="321" spans="1:184" x14ac:dyDescent="0.3">
      <c r="A321">
        <v>25105899</v>
      </c>
      <c r="B321">
        <v>9599464</v>
      </c>
      <c r="C321" t="str">
        <f>"170610601641"</f>
        <v>170610601641</v>
      </c>
      <c r="D321" t="s">
        <v>1140</v>
      </c>
      <c r="E321" t="s">
        <v>1141</v>
      </c>
      <c r="F321" t="s">
        <v>1142</v>
      </c>
      <c r="G321" s="1">
        <v>42896</v>
      </c>
      <c r="I321" t="s">
        <v>199</v>
      </c>
      <c r="J321" t="s">
        <v>200</v>
      </c>
      <c r="K321" t="s">
        <v>201</v>
      </c>
      <c r="Q321" t="s">
        <v>212</v>
      </c>
      <c r="R321" t="str">
        <f>"КАЗАХСТАН, АКМОЛИНСКАЯ, СТЕПНОГОРСК, -, 157"</f>
        <v>КАЗАХСТАН, АКМОЛИНСКАЯ, СТЕПНОГОРСК, -, 157</v>
      </c>
      <c r="S321" t="str">
        <f>"ҚАЗАҚСТАН, АҚМОЛА, СТЕПНОГОР, -, 157"</f>
        <v>ҚАЗАҚСТАН, АҚМОЛА, СТЕПНОГОР, -, 157</v>
      </c>
      <c r="T321" t="str">
        <f>"-, 157"</f>
        <v>-, 157</v>
      </c>
      <c r="U321" t="str">
        <f>"-, 157"</f>
        <v>-, 157</v>
      </c>
      <c r="AC321" t="str">
        <f>"2023-08-25T00:00:00"</f>
        <v>2023-08-25T00:00:00</v>
      </c>
      <c r="AD321" t="str">
        <f>"201"</f>
        <v>201</v>
      </c>
      <c r="AG321" t="s">
        <v>202</v>
      </c>
      <c r="AI321" t="s">
        <v>299</v>
      </c>
      <c r="AJ321" t="s">
        <v>660</v>
      </c>
      <c r="AK321" t="s">
        <v>261</v>
      </c>
      <c r="AL321" t="s">
        <v>206</v>
      </c>
      <c r="AN321" t="s">
        <v>207</v>
      </c>
      <c r="AO321">
        <v>1</v>
      </c>
      <c r="AP321" t="s">
        <v>208</v>
      </c>
      <c r="AQ321" t="s">
        <v>209</v>
      </c>
      <c r="AR321" t="s">
        <v>502</v>
      </c>
      <c r="AW321" t="s">
        <v>212</v>
      </c>
      <c r="AZ321" t="s">
        <v>209</v>
      </c>
      <c r="BI321" t="s">
        <v>212</v>
      </c>
      <c r="BJ321" t="s">
        <v>213</v>
      </c>
      <c r="BK321" t="s">
        <v>214</v>
      </c>
      <c r="BL321" t="s">
        <v>357</v>
      </c>
      <c r="BN321" t="s">
        <v>661</v>
      </c>
      <c r="BO321" t="s">
        <v>209</v>
      </c>
      <c r="BS321" t="s">
        <v>220</v>
      </c>
      <c r="BU321" t="s">
        <v>212</v>
      </c>
      <c r="BZ321" t="s">
        <v>662</v>
      </c>
      <c r="CA321" t="s">
        <v>287</v>
      </c>
      <c r="CC321" t="s">
        <v>209</v>
      </c>
      <c r="CE321" t="s">
        <v>242</v>
      </c>
      <c r="CJ321" t="s">
        <v>206</v>
      </c>
      <c r="CK321" t="s">
        <v>230</v>
      </c>
      <c r="CL321" t="s">
        <v>231</v>
      </c>
      <c r="CM321" t="s">
        <v>232</v>
      </c>
      <c r="CN321" t="s">
        <v>233</v>
      </c>
      <c r="CP321" t="s">
        <v>212</v>
      </c>
      <c r="CQ321" t="s">
        <v>212</v>
      </c>
      <c r="CR321" t="s">
        <v>212</v>
      </c>
      <c r="CS321" t="s">
        <v>212</v>
      </c>
      <c r="CY321" t="s">
        <v>212</v>
      </c>
      <c r="DB321" t="s">
        <v>234</v>
      </c>
      <c r="DE321" t="s">
        <v>212</v>
      </c>
      <c r="DF321" t="s">
        <v>212</v>
      </c>
      <c r="DG321" t="s">
        <v>235</v>
      </c>
      <c r="DH321" t="s">
        <v>212</v>
      </c>
      <c r="DJ321" t="s">
        <v>236</v>
      </c>
      <c r="DM321" t="s">
        <v>206</v>
      </c>
      <c r="GB321" t="s">
        <v>206</v>
      </c>
    </row>
    <row r="322" spans="1:184" x14ac:dyDescent="0.3">
      <c r="A322">
        <v>13263679</v>
      </c>
      <c r="B322">
        <v>759551</v>
      </c>
      <c r="C322" t="str">
        <f>"120622600302"</f>
        <v>120622600302</v>
      </c>
      <c r="D322" t="s">
        <v>1143</v>
      </c>
      <c r="E322" t="s">
        <v>930</v>
      </c>
      <c r="F322" t="s">
        <v>305</v>
      </c>
      <c r="G322" s="1">
        <v>41082</v>
      </c>
      <c r="I322" t="s">
        <v>199</v>
      </c>
      <c r="J322" t="s">
        <v>200</v>
      </c>
      <c r="K322" t="s">
        <v>268</v>
      </c>
      <c r="Q322" t="s">
        <v>212</v>
      </c>
      <c r="R322" t="str">
        <f>"КАЗАХСТАН, АКМОЛИНСКАЯ, СТЕПНОГОРСК, -, 71, 38"</f>
        <v>КАЗАХСТАН, АКМОЛИНСКАЯ, СТЕПНОГОРСК, -, 71, 38</v>
      </c>
      <c r="S322" t="str">
        <f>"ҚАЗАҚСТАН, АҚМОЛА, СТЕПНОГОР, -, 71, 38"</f>
        <v>ҚАЗАҚСТАН, АҚМОЛА, СТЕПНОГОР, -, 71, 38</v>
      </c>
      <c r="T322" t="str">
        <f>"-, 71, 38"</f>
        <v>-, 71, 38</v>
      </c>
      <c r="U322" t="str">
        <f>"-, 71, 38"</f>
        <v>-, 71, 38</v>
      </c>
      <c r="AC322" t="str">
        <f>"2019-09-03T00:00:00"</f>
        <v>2019-09-03T00:00:00</v>
      </c>
      <c r="AD322" t="str">
        <f>"192"</f>
        <v>192</v>
      </c>
      <c r="AG322" t="s">
        <v>202</v>
      </c>
      <c r="AI322" t="s">
        <v>274</v>
      </c>
      <c r="AJ322" t="s">
        <v>419</v>
      </c>
      <c r="AK322" t="s">
        <v>261</v>
      </c>
      <c r="AL322" t="s">
        <v>206</v>
      </c>
      <c r="AN322" t="s">
        <v>207</v>
      </c>
      <c r="AO322">
        <v>1</v>
      </c>
      <c r="AP322" t="s">
        <v>208</v>
      </c>
      <c r="AQ322" t="s">
        <v>209</v>
      </c>
      <c r="AR322" t="s">
        <v>210</v>
      </c>
      <c r="AW322" t="s">
        <v>206</v>
      </c>
      <c r="AX322" t="s">
        <v>211</v>
      </c>
      <c r="AZ322" t="s">
        <v>209</v>
      </c>
      <c r="BI322" t="s">
        <v>212</v>
      </c>
      <c r="BJ322" t="s">
        <v>213</v>
      </c>
      <c r="BK322" t="s">
        <v>214</v>
      </c>
      <c r="BL322" t="s">
        <v>215</v>
      </c>
      <c r="BN322" t="s">
        <v>281</v>
      </c>
      <c r="BO322" t="s">
        <v>209</v>
      </c>
      <c r="BP322" t="s">
        <v>241</v>
      </c>
      <c r="BQ322">
        <v>5</v>
      </c>
      <c r="BS322" t="s">
        <v>219</v>
      </c>
      <c r="BT322" t="s">
        <v>220</v>
      </c>
      <c r="BU322" t="s">
        <v>206</v>
      </c>
      <c r="BX322" t="s">
        <v>234</v>
      </c>
      <c r="BY322" t="s">
        <v>234</v>
      </c>
      <c r="CA322" t="s">
        <v>287</v>
      </c>
      <c r="CC322" t="s">
        <v>222</v>
      </c>
      <c r="CD322" t="s">
        <v>223</v>
      </c>
      <c r="CE322" t="s">
        <v>242</v>
      </c>
      <c r="CJ322" t="s">
        <v>206</v>
      </c>
      <c r="CK322" t="s">
        <v>230</v>
      </c>
      <c r="CL322" t="s">
        <v>231</v>
      </c>
      <c r="CM322" t="s">
        <v>232</v>
      </c>
      <c r="CN322" t="s">
        <v>233</v>
      </c>
      <c r="CP322" t="s">
        <v>212</v>
      </c>
      <c r="CQ322" t="s">
        <v>212</v>
      </c>
      <c r="CR322" t="s">
        <v>212</v>
      </c>
      <c r="CS322" t="s">
        <v>212</v>
      </c>
      <c r="CY322" t="s">
        <v>212</v>
      </c>
      <c r="DB322" t="s">
        <v>234</v>
      </c>
      <c r="DE322" t="s">
        <v>212</v>
      </c>
      <c r="DF322" t="s">
        <v>212</v>
      </c>
      <c r="DG322" t="s">
        <v>235</v>
      </c>
      <c r="DH322" t="s">
        <v>212</v>
      </c>
      <c r="DJ322" t="s">
        <v>236</v>
      </c>
      <c r="DM322" t="s">
        <v>212</v>
      </c>
    </row>
    <row r="323" spans="1:184" x14ac:dyDescent="0.3">
      <c r="A323">
        <v>25149598</v>
      </c>
      <c r="B323">
        <v>8925342</v>
      </c>
      <c r="C323" t="str">
        <f>"140723505377"</f>
        <v>140723505377</v>
      </c>
      <c r="D323" t="s">
        <v>1036</v>
      </c>
      <c r="E323" t="s">
        <v>1144</v>
      </c>
      <c r="F323" t="s">
        <v>1038</v>
      </c>
      <c r="G323" s="1">
        <v>41843</v>
      </c>
      <c r="I323" t="s">
        <v>240</v>
      </c>
      <c r="J323" t="s">
        <v>200</v>
      </c>
      <c r="K323" t="s">
        <v>201</v>
      </c>
      <c r="Q323" t="s">
        <v>212</v>
      </c>
      <c r="R323" t="str">
        <f>"КАЗАХСТАН, АКМОЛИНСКАЯ, СТЕПНОГОРСК, 49, 28"</f>
        <v>КАЗАХСТАН, АКМОЛИНСКАЯ, СТЕПНОГОРСК, 49, 28</v>
      </c>
      <c r="S323" t="str">
        <f>"ҚАЗАҚСТАН, АҚМОЛА, СТЕПНОГОР, 49, 28"</f>
        <v>ҚАЗАҚСТАН, АҚМОЛА, СТЕПНОГОР, 49, 28</v>
      </c>
      <c r="T323" t="str">
        <f>"49, 28"</f>
        <v>49, 28</v>
      </c>
      <c r="U323" t="str">
        <f>"49, 28"</f>
        <v>49, 28</v>
      </c>
      <c r="AC323" t="str">
        <f>"2023-06-30T00:00:00"</f>
        <v>2023-06-30T00:00:00</v>
      </c>
      <c r="AD323" t="str">
        <f>"37/1"</f>
        <v>37/1</v>
      </c>
      <c r="AE323" t="str">
        <f>"2023-09-01T10:11:15"</f>
        <v>2023-09-01T10:11:15</v>
      </c>
      <c r="AF323" t="str">
        <f>"2024-05-25T10:11:15"</f>
        <v>2024-05-25T10:11:15</v>
      </c>
      <c r="AG323" t="s">
        <v>202</v>
      </c>
      <c r="AI323" t="s">
        <v>269</v>
      </c>
      <c r="AJ323" t="s">
        <v>501</v>
      </c>
      <c r="AK323" t="s">
        <v>253</v>
      </c>
      <c r="AL323" t="s">
        <v>206</v>
      </c>
      <c r="AN323" t="s">
        <v>254</v>
      </c>
      <c r="AO323">
        <v>1</v>
      </c>
      <c r="AP323" t="s">
        <v>208</v>
      </c>
      <c r="AQ323" t="s">
        <v>209</v>
      </c>
      <c r="AR323" t="s">
        <v>502</v>
      </c>
      <c r="AW323" t="s">
        <v>212</v>
      </c>
      <c r="AZ323" t="s">
        <v>209</v>
      </c>
      <c r="BI323" t="s">
        <v>212</v>
      </c>
      <c r="BJ323" t="s">
        <v>213</v>
      </c>
      <c r="BK323" t="s">
        <v>214</v>
      </c>
      <c r="BL323" t="s">
        <v>357</v>
      </c>
      <c r="BN323" t="s">
        <v>247</v>
      </c>
      <c r="BO323" t="s">
        <v>209</v>
      </c>
      <c r="BP323" t="s">
        <v>241</v>
      </c>
      <c r="BQ323">
        <v>3</v>
      </c>
      <c r="BS323" t="s">
        <v>219</v>
      </c>
      <c r="BT323" t="s">
        <v>220</v>
      </c>
      <c r="BU323" t="s">
        <v>206</v>
      </c>
      <c r="BZ323" t="s">
        <v>1145</v>
      </c>
      <c r="CA323" t="s">
        <v>287</v>
      </c>
      <c r="CC323" t="s">
        <v>209</v>
      </c>
      <c r="CE323" t="s">
        <v>242</v>
      </c>
      <c r="CJ323" t="s">
        <v>206</v>
      </c>
      <c r="CK323" t="s">
        <v>230</v>
      </c>
      <c r="CL323" t="s">
        <v>231</v>
      </c>
      <c r="CM323" t="s">
        <v>232</v>
      </c>
      <c r="CN323" t="s">
        <v>233</v>
      </c>
      <c r="CP323" t="s">
        <v>212</v>
      </c>
      <c r="CQ323" t="s">
        <v>212</v>
      </c>
      <c r="CR323" t="s">
        <v>212</v>
      </c>
      <c r="CS323" t="s">
        <v>212</v>
      </c>
      <c r="CY323" t="s">
        <v>212</v>
      </c>
      <c r="DB323" t="s">
        <v>234</v>
      </c>
      <c r="DE323" t="s">
        <v>212</v>
      </c>
      <c r="DF323" t="s">
        <v>212</v>
      </c>
      <c r="DG323" t="s">
        <v>235</v>
      </c>
      <c r="DH323" t="s">
        <v>212</v>
      </c>
      <c r="DJ323" t="s">
        <v>236</v>
      </c>
      <c r="DM323" t="s">
        <v>206</v>
      </c>
    </row>
    <row r="324" spans="1:184" x14ac:dyDescent="0.3">
      <c r="A324">
        <v>13263659</v>
      </c>
      <c r="B324">
        <v>849629</v>
      </c>
      <c r="C324" t="str">
        <f>"120914502072"</f>
        <v>120914502072</v>
      </c>
      <c r="D324" t="s">
        <v>1146</v>
      </c>
      <c r="E324" t="s">
        <v>1006</v>
      </c>
      <c r="F324" t="s">
        <v>1147</v>
      </c>
      <c r="G324" s="1">
        <v>41166</v>
      </c>
      <c r="I324" t="s">
        <v>199</v>
      </c>
      <c r="J324" t="s">
        <v>200</v>
      </c>
      <c r="K324" t="s">
        <v>1148</v>
      </c>
      <c r="Q324" t="s">
        <v>212</v>
      </c>
      <c r="R324" t="str">
        <f>"КАЗАХСТАН, АКМОЛИНСКАЯ, СТЕПНОГОРСК, 50, 107"</f>
        <v>КАЗАХСТАН, АКМОЛИНСКАЯ, СТЕПНОГОРСК, 50, 107</v>
      </c>
      <c r="S324" t="str">
        <f>"ҚАЗАҚСТАН, АҚМОЛА, СТЕПНОГОР, 50, 107"</f>
        <v>ҚАЗАҚСТАН, АҚМОЛА, СТЕПНОГОР, 50, 107</v>
      </c>
      <c r="T324" t="str">
        <f>"50, 107"</f>
        <v>50, 107</v>
      </c>
      <c r="U324" t="str">
        <f>"50, 107"</f>
        <v>50, 107</v>
      </c>
      <c r="AC324" t="str">
        <f>"2019-08-28T00:00:00"</f>
        <v>2019-08-28T00:00:00</v>
      </c>
      <c r="AD324" t="str">
        <f>"1"</f>
        <v>1</v>
      </c>
      <c r="AG324" t="s">
        <v>202</v>
      </c>
      <c r="AI324" t="s">
        <v>299</v>
      </c>
      <c r="AJ324" t="s">
        <v>419</v>
      </c>
      <c r="AK324" t="s">
        <v>261</v>
      </c>
      <c r="AL324" t="s">
        <v>206</v>
      </c>
      <c r="AN324" t="s">
        <v>207</v>
      </c>
      <c r="AO324">
        <v>1</v>
      </c>
      <c r="AP324" t="s">
        <v>208</v>
      </c>
      <c r="AQ324" t="s">
        <v>209</v>
      </c>
      <c r="AR324" t="s">
        <v>210</v>
      </c>
      <c r="AW324" t="s">
        <v>206</v>
      </c>
      <c r="AX324" t="s">
        <v>211</v>
      </c>
      <c r="AZ324" t="s">
        <v>209</v>
      </c>
      <c r="BI324" t="s">
        <v>212</v>
      </c>
      <c r="BJ324" t="s">
        <v>213</v>
      </c>
      <c r="BK324" t="s">
        <v>214</v>
      </c>
      <c r="BL324" t="s">
        <v>215</v>
      </c>
      <c r="BN324" t="s">
        <v>216</v>
      </c>
      <c r="BO324" t="s">
        <v>209</v>
      </c>
      <c r="BP324" t="s">
        <v>241</v>
      </c>
      <c r="BQ324">
        <v>4</v>
      </c>
      <c r="BS324" t="s">
        <v>219</v>
      </c>
      <c r="BT324" t="s">
        <v>220</v>
      </c>
      <c r="BU324" t="s">
        <v>206</v>
      </c>
      <c r="BX324" t="s">
        <v>234</v>
      </c>
      <c r="BY324" t="s">
        <v>234</v>
      </c>
      <c r="CA324" t="s">
        <v>287</v>
      </c>
      <c r="CC324" t="s">
        <v>222</v>
      </c>
      <c r="CD324" t="s">
        <v>223</v>
      </c>
      <c r="CE324" t="s">
        <v>242</v>
      </c>
      <c r="CJ324" t="s">
        <v>206</v>
      </c>
      <c r="CK324" t="s">
        <v>230</v>
      </c>
      <c r="CL324" t="s">
        <v>231</v>
      </c>
      <c r="CM324" t="s">
        <v>232</v>
      </c>
      <c r="CN324" t="s">
        <v>233</v>
      </c>
      <c r="CP324" t="s">
        <v>212</v>
      </c>
      <c r="CQ324" t="s">
        <v>212</v>
      </c>
      <c r="CR324" t="s">
        <v>212</v>
      </c>
      <c r="CS324" t="s">
        <v>212</v>
      </c>
      <c r="CY324" t="s">
        <v>212</v>
      </c>
      <c r="DB324" t="s">
        <v>234</v>
      </c>
      <c r="DE324" t="s">
        <v>212</v>
      </c>
      <c r="DF324" t="s">
        <v>212</v>
      </c>
      <c r="DG324" t="s">
        <v>235</v>
      </c>
      <c r="DH324" t="s">
        <v>212</v>
      </c>
      <c r="DJ324" t="s">
        <v>236</v>
      </c>
      <c r="DM324" t="s">
        <v>212</v>
      </c>
    </row>
    <row r="325" spans="1:184" x14ac:dyDescent="0.3">
      <c r="A325">
        <v>25202269</v>
      </c>
      <c r="B325">
        <v>178417</v>
      </c>
      <c r="C325" t="str">
        <f>"090605652770"</f>
        <v>090605652770</v>
      </c>
      <c r="D325" t="s">
        <v>1149</v>
      </c>
      <c r="E325" t="s">
        <v>1150</v>
      </c>
      <c r="G325" s="1">
        <v>39969</v>
      </c>
      <c r="I325" t="s">
        <v>199</v>
      </c>
      <c r="J325" t="s">
        <v>200</v>
      </c>
      <c r="K325" t="s">
        <v>201</v>
      </c>
      <c r="Q325" t="s">
        <v>212</v>
      </c>
      <c r="R325" t="str">
        <f>"АНДОРРА, АКМОЛИНСКАЯ, СТЕПНОГОРСК, 14"</f>
        <v>АНДОРРА, АКМОЛИНСКАЯ, СТЕПНОГОРСК, 14</v>
      </c>
      <c r="S325" t="str">
        <f>"АНДОРРА, АҚМОЛА, СТЕПНОГОР, 14"</f>
        <v>АНДОРРА, АҚМОЛА, СТЕПНОГОР, 14</v>
      </c>
      <c r="T325" t="str">
        <f>"14"</f>
        <v>14</v>
      </c>
      <c r="U325" t="str">
        <f>"14"</f>
        <v>14</v>
      </c>
      <c r="AC325" t="str">
        <f>"2023-08-08T00:00:00"</f>
        <v>2023-08-08T00:00:00</v>
      </c>
      <c r="AD325" t="str">
        <f>"49"</f>
        <v>49</v>
      </c>
      <c r="AG325" t="s">
        <v>646</v>
      </c>
      <c r="AH325" t="str">
        <f>"aigira@mail.ru"</f>
        <v>aigira@mail.ru</v>
      </c>
      <c r="AI325" t="s">
        <v>274</v>
      </c>
      <c r="AJ325" t="s">
        <v>286</v>
      </c>
      <c r="AK325" t="s">
        <v>253</v>
      </c>
      <c r="AL325" t="s">
        <v>206</v>
      </c>
      <c r="AN325" t="s">
        <v>254</v>
      </c>
      <c r="AO325">
        <v>1</v>
      </c>
      <c r="AP325" t="s">
        <v>208</v>
      </c>
      <c r="AQ325" t="s">
        <v>209</v>
      </c>
      <c r="AR325" t="s">
        <v>502</v>
      </c>
      <c r="AW325" t="s">
        <v>212</v>
      </c>
      <c r="AZ325" t="s">
        <v>209</v>
      </c>
      <c r="BI325" t="s">
        <v>212</v>
      </c>
      <c r="BJ325" t="s">
        <v>213</v>
      </c>
      <c r="BK325" t="s">
        <v>214</v>
      </c>
      <c r="BL325" t="s">
        <v>215</v>
      </c>
      <c r="BN325" t="s">
        <v>247</v>
      </c>
      <c r="BO325" t="s">
        <v>209</v>
      </c>
      <c r="BP325" t="s">
        <v>241</v>
      </c>
      <c r="BQ325">
        <v>3</v>
      </c>
      <c r="BS325" t="s">
        <v>219</v>
      </c>
      <c r="BT325" t="s">
        <v>220</v>
      </c>
      <c r="BU325" t="s">
        <v>206</v>
      </c>
      <c r="CA325" t="s">
        <v>287</v>
      </c>
      <c r="CC325" t="s">
        <v>209</v>
      </c>
      <c r="CE325" t="s">
        <v>242</v>
      </c>
      <c r="CJ325" t="s">
        <v>206</v>
      </c>
      <c r="CK325" t="s">
        <v>230</v>
      </c>
      <c r="CL325" t="s">
        <v>231</v>
      </c>
      <c r="CM325" t="s">
        <v>232</v>
      </c>
      <c r="CN325" t="s">
        <v>233</v>
      </c>
      <c r="CP325" t="s">
        <v>212</v>
      </c>
      <c r="CQ325" t="s">
        <v>212</v>
      </c>
      <c r="CR325" t="s">
        <v>212</v>
      </c>
      <c r="CS325" t="s">
        <v>212</v>
      </c>
      <c r="CY325" t="s">
        <v>212</v>
      </c>
      <c r="DB325" t="s">
        <v>234</v>
      </c>
      <c r="DE325" t="s">
        <v>212</v>
      </c>
      <c r="DF325" t="s">
        <v>212</v>
      </c>
      <c r="DG325" t="s">
        <v>235</v>
      </c>
      <c r="DH325" t="s">
        <v>212</v>
      </c>
      <c r="DJ325" t="s">
        <v>236</v>
      </c>
      <c r="DM325" t="s">
        <v>212</v>
      </c>
    </row>
    <row r="326" spans="1:184" x14ac:dyDescent="0.3">
      <c r="A326">
        <v>13263626</v>
      </c>
      <c r="B326">
        <v>759492</v>
      </c>
      <c r="C326" t="str">
        <f>"120701600572"</f>
        <v>120701600572</v>
      </c>
      <c r="D326" t="s">
        <v>1151</v>
      </c>
      <c r="E326" t="s">
        <v>1152</v>
      </c>
      <c r="F326" t="s">
        <v>921</v>
      </c>
      <c r="G326" s="1">
        <v>41091</v>
      </c>
      <c r="I326" t="s">
        <v>199</v>
      </c>
      <c r="J326" t="s">
        <v>200</v>
      </c>
      <c r="K326" t="s">
        <v>260</v>
      </c>
      <c r="Q326" t="s">
        <v>212</v>
      </c>
      <c r="R326" t="str">
        <f>"КАЗАХСТАН, АКМОЛИНСКАЯ, СТЕПНОГОРСК, 64/1, 43"</f>
        <v>КАЗАХСТАН, АКМОЛИНСКАЯ, СТЕПНОГОРСК, 64/1, 43</v>
      </c>
      <c r="S326" t="str">
        <f>"ҚАЗАҚСТАН, АҚМОЛА, СТЕПНОГОР, 64/1, 43"</f>
        <v>ҚАЗАҚСТАН, АҚМОЛА, СТЕПНОГОР, 64/1, 43</v>
      </c>
      <c r="T326" t="str">
        <f>"64/1, 43"</f>
        <v>64/1, 43</v>
      </c>
      <c r="U326" t="str">
        <f>"64/1, 43"</f>
        <v>64/1, 43</v>
      </c>
      <c r="AC326" t="str">
        <f>"2019-08-28T00:00:00"</f>
        <v>2019-08-28T00:00:00</v>
      </c>
      <c r="AD326" t="str">
        <f>"190"</f>
        <v>190</v>
      </c>
      <c r="AE326" t="str">
        <f>"2023-09-01T14:12:28"</f>
        <v>2023-09-01T14:12:28</v>
      </c>
      <c r="AF326" t="str">
        <f>"2024-05-25T14:12:28"</f>
        <v>2024-05-25T14:12:28</v>
      </c>
      <c r="AG326" t="s">
        <v>202</v>
      </c>
      <c r="AI326" t="s">
        <v>203</v>
      </c>
      <c r="AJ326" t="s">
        <v>419</v>
      </c>
      <c r="AK326" t="s">
        <v>261</v>
      </c>
      <c r="AL326" t="s">
        <v>206</v>
      </c>
      <c r="AN326" t="s">
        <v>207</v>
      </c>
      <c r="AO326">
        <v>1</v>
      </c>
      <c r="AP326" t="s">
        <v>208</v>
      </c>
      <c r="AQ326" t="s">
        <v>209</v>
      </c>
      <c r="AR326" t="s">
        <v>262</v>
      </c>
      <c r="AW326" t="s">
        <v>206</v>
      </c>
      <c r="AX326" t="s">
        <v>211</v>
      </c>
      <c r="AZ326" t="s">
        <v>209</v>
      </c>
      <c r="BI326" t="s">
        <v>212</v>
      </c>
      <c r="BJ326" t="s">
        <v>213</v>
      </c>
      <c r="BK326" t="s">
        <v>214</v>
      </c>
      <c r="BL326" t="s">
        <v>215</v>
      </c>
      <c r="BN326" t="s">
        <v>216</v>
      </c>
      <c r="BO326" t="s">
        <v>209</v>
      </c>
      <c r="BP326" t="s">
        <v>241</v>
      </c>
      <c r="BQ326">
        <v>4</v>
      </c>
      <c r="BS326" t="s">
        <v>219</v>
      </c>
      <c r="BT326" t="s">
        <v>220</v>
      </c>
      <c r="BU326" t="s">
        <v>206</v>
      </c>
      <c r="BX326" t="s">
        <v>221</v>
      </c>
      <c r="BY326" t="s">
        <v>221</v>
      </c>
      <c r="CA326" t="s">
        <v>287</v>
      </c>
      <c r="CC326" t="s">
        <v>222</v>
      </c>
      <c r="CD326" t="s">
        <v>223</v>
      </c>
      <c r="CE326" t="s">
        <v>242</v>
      </c>
      <c r="CJ326" t="s">
        <v>206</v>
      </c>
      <c r="CK326" t="s">
        <v>230</v>
      </c>
      <c r="CL326" t="s">
        <v>231</v>
      </c>
      <c r="CM326" t="s">
        <v>232</v>
      </c>
      <c r="CN326" t="s">
        <v>233</v>
      </c>
      <c r="CP326" t="s">
        <v>212</v>
      </c>
      <c r="CQ326" t="s">
        <v>212</v>
      </c>
      <c r="CR326" t="s">
        <v>212</v>
      </c>
      <c r="CS326" t="s">
        <v>212</v>
      </c>
      <c r="CY326" t="s">
        <v>212</v>
      </c>
      <c r="DB326" t="s">
        <v>234</v>
      </c>
      <c r="DE326" t="s">
        <v>212</v>
      </c>
      <c r="DF326" t="s">
        <v>212</v>
      </c>
      <c r="DG326" t="s">
        <v>235</v>
      </c>
      <c r="DH326" t="s">
        <v>212</v>
      </c>
      <c r="DJ326" t="s">
        <v>236</v>
      </c>
      <c r="DM326" t="s">
        <v>212</v>
      </c>
    </row>
    <row r="327" spans="1:184" x14ac:dyDescent="0.3">
      <c r="A327">
        <v>25239087</v>
      </c>
      <c r="B327">
        <v>8937275</v>
      </c>
      <c r="C327" t="str">
        <f>"150717504787"</f>
        <v>150717504787</v>
      </c>
      <c r="D327" t="s">
        <v>1153</v>
      </c>
      <c r="E327" t="s">
        <v>1154</v>
      </c>
      <c r="F327" t="s">
        <v>797</v>
      </c>
      <c r="G327" s="1">
        <v>42202</v>
      </c>
      <c r="I327" t="s">
        <v>240</v>
      </c>
      <c r="J327" t="s">
        <v>200</v>
      </c>
      <c r="K327" t="s">
        <v>201</v>
      </c>
      <c r="Q327" t="s">
        <v>212</v>
      </c>
      <c r="R327" t="str">
        <f>"КАЗАХСТАН, АКМОЛИНСКАЯ, СТЕПНОГОРСК, -, 42, 34"</f>
        <v>КАЗАХСТАН, АКМОЛИНСКАЯ, СТЕПНОГОРСК, -, 42, 34</v>
      </c>
      <c r="S327" t="str">
        <f>"ҚАЗАҚСТАН, АҚМОЛА, СТЕПНОГОР, -, 42, 34"</f>
        <v>ҚАЗАҚСТАН, АҚМОЛА, СТЕПНОГОР, -, 42, 34</v>
      </c>
      <c r="T327" t="str">
        <f>"-, 42, 34"</f>
        <v>-, 42, 34</v>
      </c>
      <c r="U327" t="str">
        <f>"-, 42, 34"</f>
        <v>-, 42, 34</v>
      </c>
      <c r="AC327" t="str">
        <f>"2023-06-27T00:00:00"</f>
        <v>2023-06-27T00:00:00</v>
      </c>
      <c r="AD327" t="str">
        <f>"35\\1"</f>
        <v>35\\1</v>
      </c>
      <c r="AG327" t="s">
        <v>202</v>
      </c>
      <c r="AI327" t="s">
        <v>203</v>
      </c>
      <c r="AJ327" t="s">
        <v>570</v>
      </c>
      <c r="AK327" t="s">
        <v>246</v>
      </c>
      <c r="AL327" t="s">
        <v>206</v>
      </c>
      <c r="AN327" t="s">
        <v>207</v>
      </c>
      <c r="AO327">
        <v>1</v>
      </c>
      <c r="AP327" t="s">
        <v>208</v>
      </c>
      <c r="AQ327" t="s">
        <v>209</v>
      </c>
      <c r="AR327" t="s">
        <v>502</v>
      </c>
      <c r="AW327" t="s">
        <v>212</v>
      </c>
      <c r="AZ327" t="s">
        <v>209</v>
      </c>
      <c r="BI327" t="s">
        <v>212</v>
      </c>
      <c r="BJ327" t="s">
        <v>213</v>
      </c>
      <c r="BK327" t="s">
        <v>214</v>
      </c>
      <c r="BL327" t="s">
        <v>357</v>
      </c>
      <c r="BN327" t="s">
        <v>216</v>
      </c>
      <c r="BO327" t="s">
        <v>209</v>
      </c>
      <c r="BP327" t="s">
        <v>241</v>
      </c>
      <c r="BQ327">
        <v>4</v>
      </c>
      <c r="BS327" t="s">
        <v>220</v>
      </c>
      <c r="BU327" t="s">
        <v>212</v>
      </c>
      <c r="BZ327" t="s">
        <v>571</v>
      </c>
      <c r="CA327" t="s">
        <v>287</v>
      </c>
      <c r="CC327" t="s">
        <v>209</v>
      </c>
      <c r="CE327" t="s">
        <v>242</v>
      </c>
      <c r="CJ327" t="s">
        <v>206</v>
      </c>
      <c r="CK327" t="s">
        <v>230</v>
      </c>
      <c r="CL327" t="s">
        <v>231</v>
      </c>
      <c r="CM327" t="s">
        <v>232</v>
      </c>
      <c r="CN327" t="s">
        <v>233</v>
      </c>
      <c r="CP327" t="s">
        <v>212</v>
      </c>
      <c r="CQ327" t="s">
        <v>212</v>
      </c>
      <c r="CR327" t="s">
        <v>212</v>
      </c>
      <c r="CS327" t="s">
        <v>212</v>
      </c>
      <c r="CY327" t="s">
        <v>212</v>
      </c>
      <c r="DB327" t="s">
        <v>234</v>
      </c>
      <c r="DE327" t="s">
        <v>212</v>
      </c>
      <c r="DF327" t="s">
        <v>212</v>
      </c>
      <c r="DG327" t="s">
        <v>235</v>
      </c>
      <c r="DH327" t="s">
        <v>212</v>
      </c>
      <c r="DJ327" t="s">
        <v>236</v>
      </c>
      <c r="DM327" t="s">
        <v>206</v>
      </c>
    </row>
    <row r="328" spans="1:184" x14ac:dyDescent="0.3">
      <c r="A328">
        <v>25265787</v>
      </c>
      <c r="B328">
        <v>121240</v>
      </c>
      <c r="C328" t="str">
        <f>"070518551343"</f>
        <v>070518551343</v>
      </c>
      <c r="D328" t="s">
        <v>1155</v>
      </c>
      <c r="E328" t="s">
        <v>238</v>
      </c>
      <c r="F328" t="s">
        <v>1156</v>
      </c>
      <c r="G328" s="1">
        <v>39220</v>
      </c>
      <c r="I328" t="s">
        <v>240</v>
      </c>
      <c r="J328" t="s">
        <v>200</v>
      </c>
      <c r="K328" t="s">
        <v>201</v>
      </c>
      <c r="Q328" t="s">
        <v>212</v>
      </c>
      <c r="R328" t="str">
        <f>"КАЗАХСТАН, АКМОЛИНСКАЯ, СТЕПНОГОРСК, 10, 87"</f>
        <v>КАЗАХСТАН, АКМОЛИНСКАЯ, СТЕПНОГОРСК, 10, 87</v>
      </c>
      <c r="S328" t="str">
        <f>"ҚАЗАҚСТАН, АҚМОЛА, СТЕПНОГОР, 10, 87"</f>
        <v>ҚАЗАҚСТАН, АҚМОЛА, СТЕПНОГОР, 10, 87</v>
      </c>
      <c r="T328" t="str">
        <f>"10, 87"</f>
        <v>10, 87</v>
      </c>
      <c r="U328" t="str">
        <f>"10, 87"</f>
        <v>10, 87</v>
      </c>
      <c r="AC328" t="str">
        <f>"2023-08-25T00:00:00"</f>
        <v>2023-08-25T00:00:00</v>
      </c>
      <c r="AD328" t="str">
        <f>"200"</f>
        <v>200</v>
      </c>
      <c r="AE328" t="str">
        <f>"2023-09-01T17:36:50"</f>
        <v>2023-09-01T17:36:50</v>
      </c>
      <c r="AF328" t="str">
        <f>"2024-05-25T17:36:50"</f>
        <v>2024-05-25T17:36:50</v>
      </c>
      <c r="AG328" t="s">
        <v>202</v>
      </c>
      <c r="AH328" t="str">
        <f>"schkola_zav@mail.ru"</f>
        <v>schkola_zav@mail.ru</v>
      </c>
      <c r="AI328" t="s">
        <v>274</v>
      </c>
      <c r="AJ328" t="s">
        <v>1157</v>
      </c>
      <c r="AK328" t="s">
        <v>253</v>
      </c>
      <c r="AL328" t="s">
        <v>206</v>
      </c>
      <c r="AN328" t="s">
        <v>254</v>
      </c>
      <c r="AO328">
        <v>1</v>
      </c>
      <c r="AP328" t="s">
        <v>208</v>
      </c>
      <c r="AQ328" t="s">
        <v>209</v>
      </c>
      <c r="AR328" t="s">
        <v>210</v>
      </c>
      <c r="AW328" t="s">
        <v>212</v>
      </c>
      <c r="AZ328" t="s">
        <v>209</v>
      </c>
      <c r="BI328" t="s">
        <v>212</v>
      </c>
      <c r="BJ328" t="s">
        <v>213</v>
      </c>
      <c r="BK328" t="s">
        <v>214</v>
      </c>
      <c r="BL328" t="s">
        <v>357</v>
      </c>
      <c r="BN328" t="s">
        <v>247</v>
      </c>
      <c r="BO328" t="s">
        <v>209</v>
      </c>
      <c r="BP328" t="s">
        <v>241</v>
      </c>
      <c r="BQ328">
        <v>3</v>
      </c>
      <c r="BS328" t="s">
        <v>219</v>
      </c>
      <c r="BT328" t="s">
        <v>220</v>
      </c>
      <c r="BU328" t="s">
        <v>206</v>
      </c>
      <c r="CA328" t="s">
        <v>287</v>
      </c>
      <c r="CC328" t="s">
        <v>222</v>
      </c>
      <c r="CD328" t="s">
        <v>223</v>
      </c>
      <c r="CE328" t="s">
        <v>242</v>
      </c>
      <c r="CJ328" t="s">
        <v>206</v>
      </c>
      <c r="CK328" t="s">
        <v>474</v>
      </c>
      <c r="CM328" t="s">
        <v>292</v>
      </c>
      <c r="CN328" t="s">
        <v>233</v>
      </c>
      <c r="CP328" t="s">
        <v>212</v>
      </c>
      <c r="CQ328" t="s">
        <v>212</v>
      </c>
      <c r="CR328" t="s">
        <v>212</v>
      </c>
      <c r="CS328" t="s">
        <v>212</v>
      </c>
      <c r="CY328" t="s">
        <v>212</v>
      </c>
      <c r="DB328" t="s">
        <v>234</v>
      </c>
      <c r="DE328" t="s">
        <v>212</v>
      </c>
      <c r="DF328" t="s">
        <v>212</v>
      </c>
      <c r="DG328" t="s">
        <v>235</v>
      </c>
      <c r="DH328" t="s">
        <v>212</v>
      </c>
      <c r="DJ328" t="s">
        <v>421</v>
      </c>
      <c r="DK328" t="s">
        <v>422</v>
      </c>
      <c r="DL328" t="s">
        <v>423</v>
      </c>
      <c r="DM328" t="s">
        <v>206</v>
      </c>
    </row>
    <row r="329" spans="1:184" x14ac:dyDescent="0.3">
      <c r="A329">
        <v>25276287</v>
      </c>
      <c r="B329">
        <v>119493</v>
      </c>
      <c r="C329" t="str">
        <f>"070719652428"</f>
        <v>070719652428</v>
      </c>
      <c r="D329" t="s">
        <v>271</v>
      </c>
      <c r="E329" t="s">
        <v>1158</v>
      </c>
      <c r="F329" t="s">
        <v>418</v>
      </c>
      <c r="G329" s="1">
        <v>39282</v>
      </c>
      <c r="I329" t="s">
        <v>199</v>
      </c>
      <c r="J329" t="s">
        <v>200</v>
      </c>
      <c r="K329" t="s">
        <v>201</v>
      </c>
      <c r="Q329" t="s">
        <v>212</v>
      </c>
      <c r="R329" t="str">
        <f>"КАЗАХСТАН, АКМОЛИНСКАЯ, СТЕПНОГОРСК, 30, 34"</f>
        <v>КАЗАХСТАН, АКМОЛИНСКАЯ, СТЕПНОГОРСК, 30, 34</v>
      </c>
      <c r="S329" t="str">
        <f>"ҚАЗАҚСТАН, АҚМОЛА, СТЕПНОГОР, 30, 34"</f>
        <v>ҚАЗАҚСТАН, АҚМОЛА, СТЕПНОГОР, 30, 34</v>
      </c>
      <c r="T329" t="str">
        <f>"30, 34"</f>
        <v>30, 34</v>
      </c>
      <c r="U329" t="str">
        <f>"30, 34"</f>
        <v>30, 34</v>
      </c>
      <c r="AC329" t="str">
        <f>"2023-08-14T00:00:00"</f>
        <v>2023-08-14T00:00:00</v>
      </c>
      <c r="AD329" t="str">
        <f>"55"</f>
        <v>55</v>
      </c>
      <c r="AE329" t="str">
        <f>"2023-09-01T17:38:13"</f>
        <v>2023-09-01T17:38:13</v>
      </c>
      <c r="AF329" t="str">
        <f>"2024-05-25T17:38:13"</f>
        <v>2024-05-25T17:38:13</v>
      </c>
      <c r="AG329" t="s">
        <v>202</v>
      </c>
      <c r="AH329" t="str">
        <f>"ckool007@mail.ru"</f>
        <v>ckool007@mail.ru</v>
      </c>
      <c r="AI329" t="s">
        <v>299</v>
      </c>
      <c r="AJ329" t="s">
        <v>1157</v>
      </c>
      <c r="AK329" t="s">
        <v>253</v>
      </c>
      <c r="AL329" t="s">
        <v>206</v>
      </c>
      <c r="AN329" t="s">
        <v>254</v>
      </c>
      <c r="AO329">
        <v>1</v>
      </c>
      <c r="AP329" t="s">
        <v>208</v>
      </c>
      <c r="AQ329" t="s">
        <v>209</v>
      </c>
      <c r="AR329" t="s">
        <v>502</v>
      </c>
      <c r="AW329" t="s">
        <v>212</v>
      </c>
      <c r="AZ329" t="s">
        <v>209</v>
      </c>
      <c r="BI329" t="s">
        <v>212</v>
      </c>
      <c r="BJ329" t="s">
        <v>213</v>
      </c>
      <c r="BK329" t="s">
        <v>214</v>
      </c>
      <c r="BL329" t="s">
        <v>357</v>
      </c>
      <c r="BN329" t="s">
        <v>216</v>
      </c>
      <c r="BO329" t="s">
        <v>209</v>
      </c>
      <c r="BP329" t="s">
        <v>217</v>
      </c>
      <c r="BQ329" t="s">
        <v>218</v>
      </c>
      <c r="BS329" t="s">
        <v>219</v>
      </c>
      <c r="BT329" t="s">
        <v>220</v>
      </c>
      <c r="BU329" t="s">
        <v>206</v>
      </c>
      <c r="CA329" t="s">
        <v>287</v>
      </c>
      <c r="CC329" t="s">
        <v>334</v>
      </c>
      <c r="CD329" t="s">
        <v>223</v>
      </c>
      <c r="CE329" t="s">
        <v>242</v>
      </c>
      <c r="CJ329" t="s">
        <v>206</v>
      </c>
      <c r="CK329" t="s">
        <v>474</v>
      </c>
      <c r="CM329" t="s">
        <v>292</v>
      </c>
      <c r="CN329" t="s">
        <v>233</v>
      </c>
      <c r="CP329" t="s">
        <v>212</v>
      </c>
      <c r="CQ329" t="s">
        <v>212</v>
      </c>
      <c r="CR329" t="s">
        <v>212</v>
      </c>
      <c r="CS329" t="s">
        <v>212</v>
      </c>
      <c r="CY329" t="s">
        <v>212</v>
      </c>
      <c r="DB329" t="s">
        <v>234</v>
      </c>
      <c r="DE329" t="s">
        <v>212</v>
      </c>
      <c r="DF329" t="s">
        <v>212</v>
      </c>
      <c r="DG329" t="s">
        <v>235</v>
      </c>
      <c r="DH329" t="s">
        <v>212</v>
      </c>
      <c r="DJ329" t="s">
        <v>421</v>
      </c>
      <c r="DK329" t="s">
        <v>422</v>
      </c>
      <c r="DL329" t="s">
        <v>423</v>
      </c>
      <c r="DM329" t="s">
        <v>206</v>
      </c>
    </row>
    <row r="330" spans="1:184" x14ac:dyDescent="0.3">
      <c r="A330">
        <v>13263601</v>
      </c>
      <c r="B330">
        <v>839434</v>
      </c>
      <c r="C330" t="str">
        <f>"120903500690"</f>
        <v>120903500690</v>
      </c>
      <c r="D330" t="s">
        <v>1159</v>
      </c>
      <c r="E330" t="s">
        <v>410</v>
      </c>
      <c r="F330" t="s">
        <v>942</v>
      </c>
      <c r="G330" s="1">
        <v>41155</v>
      </c>
      <c r="I330" t="s">
        <v>240</v>
      </c>
      <c r="J330" t="s">
        <v>200</v>
      </c>
      <c r="K330" t="s">
        <v>260</v>
      </c>
      <c r="Q330" t="s">
        <v>212</v>
      </c>
      <c r="R330" t="str">
        <f>"КАЗАХСТАН, АКМОЛИНСКАЯ, СТЕПНОГОРСК, 17, 27"</f>
        <v>КАЗАХСТАН, АКМОЛИНСКАЯ, СТЕПНОГОРСК, 17, 27</v>
      </c>
      <c r="S330" t="str">
        <f>"ҚАЗАҚСТАН, АҚМОЛА, СТЕПНОГОР, 17, 27"</f>
        <v>ҚАЗАҚСТАН, АҚМОЛА, СТЕПНОГОР, 17, 27</v>
      </c>
      <c r="T330" t="str">
        <f>"17, 27"</f>
        <v>17, 27</v>
      </c>
      <c r="U330" t="str">
        <f>"17, 27"</f>
        <v>17, 27</v>
      </c>
      <c r="AC330" t="str">
        <f>"2019-06-07T00:00:00"</f>
        <v>2019-06-07T00:00:00</v>
      </c>
      <c r="AD330" t="str">
        <f>"79"</f>
        <v>79</v>
      </c>
      <c r="AG330" t="s">
        <v>202</v>
      </c>
      <c r="AI330" t="s">
        <v>299</v>
      </c>
      <c r="AJ330" t="s">
        <v>419</v>
      </c>
      <c r="AK330" t="s">
        <v>261</v>
      </c>
      <c r="AL330" t="s">
        <v>206</v>
      </c>
      <c r="AN330" t="s">
        <v>207</v>
      </c>
      <c r="AO330">
        <v>1</v>
      </c>
      <c r="AP330" t="s">
        <v>208</v>
      </c>
      <c r="AQ330" t="s">
        <v>209</v>
      </c>
      <c r="AR330" t="s">
        <v>412</v>
      </c>
      <c r="AW330" t="s">
        <v>206</v>
      </c>
      <c r="AX330" t="s">
        <v>211</v>
      </c>
      <c r="AZ330" t="s">
        <v>209</v>
      </c>
      <c r="BI330" t="s">
        <v>212</v>
      </c>
      <c r="BJ330" t="s">
        <v>213</v>
      </c>
      <c r="BK330" t="s">
        <v>214</v>
      </c>
      <c r="BL330" t="s">
        <v>215</v>
      </c>
      <c r="BN330" t="s">
        <v>216</v>
      </c>
      <c r="BO330" t="s">
        <v>209</v>
      </c>
      <c r="BP330" t="s">
        <v>241</v>
      </c>
      <c r="BQ330">
        <v>4</v>
      </c>
      <c r="BS330" t="s">
        <v>219</v>
      </c>
      <c r="BT330" t="s">
        <v>220</v>
      </c>
      <c r="BU330" t="s">
        <v>206</v>
      </c>
      <c r="BX330" t="s">
        <v>221</v>
      </c>
      <c r="BY330" t="s">
        <v>221</v>
      </c>
      <c r="CA330" t="s">
        <v>287</v>
      </c>
      <c r="CC330" t="s">
        <v>222</v>
      </c>
      <c r="CD330" t="s">
        <v>223</v>
      </c>
      <c r="CE330" t="s">
        <v>242</v>
      </c>
      <c r="CJ330" t="s">
        <v>206</v>
      </c>
      <c r="CK330" t="s">
        <v>230</v>
      </c>
      <c r="CL330" t="s">
        <v>231</v>
      </c>
      <c r="CM330" t="s">
        <v>232</v>
      </c>
      <c r="CN330" t="s">
        <v>233</v>
      </c>
      <c r="CP330" t="s">
        <v>212</v>
      </c>
      <c r="CQ330" t="s">
        <v>212</v>
      </c>
      <c r="CR330" t="s">
        <v>212</v>
      </c>
      <c r="CS330" t="s">
        <v>212</v>
      </c>
      <c r="CY330" t="s">
        <v>212</v>
      </c>
      <c r="DB330" t="s">
        <v>234</v>
      </c>
      <c r="DE330" t="s">
        <v>212</v>
      </c>
      <c r="DF330" t="s">
        <v>212</v>
      </c>
      <c r="DG330" t="s">
        <v>235</v>
      </c>
      <c r="DH330" t="s">
        <v>212</v>
      </c>
      <c r="DJ330" t="s">
        <v>236</v>
      </c>
      <c r="DM330" t="s">
        <v>212</v>
      </c>
    </row>
    <row r="331" spans="1:184" x14ac:dyDescent="0.3">
      <c r="A331">
        <v>13263593</v>
      </c>
      <c r="B331">
        <v>759884</v>
      </c>
      <c r="C331" t="str">
        <f>"130511602004"</f>
        <v>130511602004</v>
      </c>
      <c r="D331" t="s">
        <v>1160</v>
      </c>
      <c r="E331" t="s">
        <v>573</v>
      </c>
      <c r="F331" t="s">
        <v>700</v>
      </c>
      <c r="G331" s="1">
        <v>41405</v>
      </c>
      <c r="I331" t="s">
        <v>199</v>
      </c>
      <c r="J331" t="s">
        <v>200</v>
      </c>
      <c r="K331" t="s">
        <v>260</v>
      </c>
      <c r="Q331" t="s">
        <v>212</v>
      </c>
      <c r="R331" t="str">
        <f>"КАЗАХСТАН, АКМОЛИНСКАЯ, СТЕПНОГОРСК, 42, 32"</f>
        <v>КАЗАХСТАН, АКМОЛИНСКАЯ, СТЕПНОГОРСК, 42, 32</v>
      </c>
      <c r="S331" t="str">
        <f>"ҚАЗАҚСТАН, АҚМОЛА, СТЕПНОГОР, 42, 32"</f>
        <v>ҚАЗАҚСТАН, АҚМОЛА, СТЕПНОГОР, 42, 32</v>
      </c>
      <c r="T331" t="str">
        <f>"42, 32"</f>
        <v>42, 32</v>
      </c>
      <c r="U331" t="str">
        <f>"42, 32"</f>
        <v>42, 32</v>
      </c>
      <c r="AC331" t="str">
        <f>"2019-08-29T00:00:00"</f>
        <v>2019-08-29T00:00:00</v>
      </c>
      <c r="AD331" t="str">
        <f>"1"</f>
        <v>1</v>
      </c>
      <c r="AG331" t="s">
        <v>202</v>
      </c>
      <c r="AI331" t="s">
        <v>299</v>
      </c>
      <c r="AJ331" t="s">
        <v>419</v>
      </c>
      <c r="AK331" t="s">
        <v>261</v>
      </c>
      <c r="AL331" t="s">
        <v>206</v>
      </c>
      <c r="AN331" t="s">
        <v>207</v>
      </c>
      <c r="AO331">
        <v>1</v>
      </c>
      <c r="AP331" t="s">
        <v>208</v>
      </c>
      <c r="AQ331" t="s">
        <v>209</v>
      </c>
      <c r="AR331" t="s">
        <v>210</v>
      </c>
      <c r="AW331" t="s">
        <v>206</v>
      </c>
      <c r="AX331" t="s">
        <v>211</v>
      </c>
      <c r="AZ331" t="s">
        <v>209</v>
      </c>
      <c r="BI331" t="s">
        <v>212</v>
      </c>
      <c r="BJ331" t="s">
        <v>213</v>
      </c>
      <c r="BK331" t="s">
        <v>214</v>
      </c>
      <c r="BL331" t="s">
        <v>215</v>
      </c>
      <c r="BN331" t="s">
        <v>281</v>
      </c>
      <c r="BO331" t="s">
        <v>209</v>
      </c>
      <c r="BP331" t="s">
        <v>241</v>
      </c>
      <c r="BQ331">
        <v>5</v>
      </c>
      <c r="BS331" t="s">
        <v>219</v>
      </c>
      <c r="BT331" t="s">
        <v>220</v>
      </c>
      <c r="BU331" t="s">
        <v>206</v>
      </c>
      <c r="BX331" t="s">
        <v>221</v>
      </c>
      <c r="BY331" t="s">
        <v>221</v>
      </c>
      <c r="CA331" t="s">
        <v>287</v>
      </c>
      <c r="CC331" t="s">
        <v>1161</v>
      </c>
      <c r="CD331" t="s">
        <v>810</v>
      </c>
      <c r="CE331" t="s">
        <v>242</v>
      </c>
      <c r="CJ331" t="s">
        <v>206</v>
      </c>
      <c r="CK331" t="s">
        <v>230</v>
      </c>
      <c r="CL331" t="s">
        <v>231</v>
      </c>
      <c r="CM331" t="s">
        <v>232</v>
      </c>
      <c r="CN331" t="s">
        <v>233</v>
      </c>
      <c r="CP331" t="s">
        <v>212</v>
      </c>
      <c r="CQ331" t="s">
        <v>212</v>
      </c>
      <c r="CR331" t="s">
        <v>212</v>
      </c>
      <c r="CS331" t="s">
        <v>212</v>
      </c>
      <c r="CY331" t="s">
        <v>212</v>
      </c>
      <c r="DB331" t="s">
        <v>234</v>
      </c>
      <c r="DE331" t="s">
        <v>212</v>
      </c>
      <c r="DF331" t="s">
        <v>212</v>
      </c>
      <c r="DG331" t="s">
        <v>235</v>
      </c>
      <c r="DH331" t="s">
        <v>212</v>
      </c>
      <c r="DJ331" t="s">
        <v>236</v>
      </c>
      <c r="DM331" t="s">
        <v>212</v>
      </c>
    </row>
    <row r="332" spans="1:184" x14ac:dyDescent="0.3">
      <c r="A332">
        <v>13263497</v>
      </c>
      <c r="B332">
        <v>762093</v>
      </c>
      <c r="C332" t="str">
        <f>"130219601242"</f>
        <v>130219601242</v>
      </c>
      <c r="D332" t="s">
        <v>1162</v>
      </c>
      <c r="E332" t="s">
        <v>266</v>
      </c>
      <c r="F332" t="s">
        <v>1163</v>
      </c>
      <c r="G332" s="1">
        <v>41324</v>
      </c>
      <c r="I332" t="s">
        <v>199</v>
      </c>
      <c r="J332" t="s">
        <v>200</v>
      </c>
      <c r="K332" t="s">
        <v>260</v>
      </c>
      <c r="Q332" t="s">
        <v>212</v>
      </c>
      <c r="R332" t="str">
        <f>"КАЗАХСТАН, АКМОЛИНСКАЯ, СТЕПНОГОРСК, 18, 310"</f>
        <v>КАЗАХСТАН, АКМОЛИНСКАЯ, СТЕПНОГОРСК, 18, 310</v>
      </c>
      <c r="S332" t="str">
        <f>"ҚАЗАҚСТАН, АҚМОЛА, СТЕПНОГОР, 18, 310"</f>
        <v>ҚАЗАҚСТАН, АҚМОЛА, СТЕПНОГОР, 18, 310</v>
      </c>
      <c r="T332" t="str">
        <f>"18, 310"</f>
        <v>18, 310</v>
      </c>
      <c r="U332" t="str">
        <f>"18, 310"</f>
        <v>18, 310</v>
      </c>
      <c r="AC332" t="str">
        <f>"2019-07-18T00:00:00"</f>
        <v>2019-07-18T00:00:00</v>
      </c>
      <c r="AD332" t="str">
        <f>"113"</f>
        <v>113</v>
      </c>
      <c r="AG332" t="s">
        <v>202</v>
      </c>
      <c r="AI332" t="s">
        <v>299</v>
      </c>
      <c r="AJ332" t="s">
        <v>419</v>
      </c>
      <c r="AK332" t="s">
        <v>205</v>
      </c>
      <c r="AL332" t="s">
        <v>206</v>
      </c>
      <c r="AN332" t="s">
        <v>207</v>
      </c>
      <c r="AO332">
        <v>1</v>
      </c>
      <c r="AP332" t="s">
        <v>208</v>
      </c>
      <c r="AQ332" t="s">
        <v>209</v>
      </c>
      <c r="AR332" t="s">
        <v>210</v>
      </c>
      <c r="AW332" t="s">
        <v>206</v>
      </c>
      <c r="AX332" t="s">
        <v>211</v>
      </c>
      <c r="AZ332" t="s">
        <v>209</v>
      </c>
      <c r="BI332" t="s">
        <v>212</v>
      </c>
      <c r="BJ332" t="s">
        <v>213</v>
      </c>
      <c r="BK332" t="s">
        <v>214</v>
      </c>
      <c r="BL332" t="s">
        <v>215</v>
      </c>
      <c r="BN332" t="s">
        <v>281</v>
      </c>
      <c r="BO332" t="s">
        <v>209</v>
      </c>
      <c r="BP332" t="s">
        <v>241</v>
      </c>
      <c r="BQ332">
        <v>5</v>
      </c>
      <c r="BS332" t="s">
        <v>219</v>
      </c>
      <c r="BT332" t="s">
        <v>220</v>
      </c>
      <c r="BU332" t="s">
        <v>206</v>
      </c>
      <c r="BX332" t="s">
        <v>221</v>
      </c>
      <c r="BY332" t="s">
        <v>221</v>
      </c>
      <c r="CA332" t="s">
        <v>287</v>
      </c>
      <c r="CC332" t="s">
        <v>222</v>
      </c>
      <c r="CD332" t="s">
        <v>223</v>
      </c>
      <c r="CE332" t="s">
        <v>242</v>
      </c>
      <c r="CJ332" t="s">
        <v>206</v>
      </c>
      <c r="CK332" t="s">
        <v>230</v>
      </c>
      <c r="CL332" t="s">
        <v>231</v>
      </c>
      <c r="CM332" t="s">
        <v>232</v>
      </c>
      <c r="CN332" t="s">
        <v>233</v>
      </c>
      <c r="CP332" t="s">
        <v>212</v>
      </c>
      <c r="CQ332" t="s">
        <v>212</v>
      </c>
      <c r="CR332" t="s">
        <v>212</v>
      </c>
      <c r="CS332" t="s">
        <v>212</v>
      </c>
      <c r="CY332" t="s">
        <v>212</v>
      </c>
      <c r="DB332" t="s">
        <v>234</v>
      </c>
      <c r="DE332" t="s">
        <v>212</v>
      </c>
      <c r="DF332" t="s">
        <v>212</v>
      </c>
      <c r="DG332" t="s">
        <v>235</v>
      </c>
      <c r="DH332" t="s">
        <v>212</v>
      </c>
      <c r="DJ332" t="s">
        <v>236</v>
      </c>
      <c r="DM332" t="s">
        <v>212</v>
      </c>
    </row>
    <row r="333" spans="1:184" x14ac:dyDescent="0.3">
      <c r="A333">
        <v>13263478</v>
      </c>
      <c r="B333">
        <v>836747</v>
      </c>
      <c r="C333" t="str">
        <f>"120409500437"</f>
        <v>120409500437</v>
      </c>
      <c r="D333" t="s">
        <v>1164</v>
      </c>
      <c r="E333" t="s">
        <v>1165</v>
      </c>
      <c r="F333" t="s">
        <v>1166</v>
      </c>
      <c r="G333" s="1">
        <v>41008</v>
      </c>
      <c r="I333" t="s">
        <v>240</v>
      </c>
      <c r="J333" t="s">
        <v>200</v>
      </c>
      <c r="K333" t="s">
        <v>201</v>
      </c>
      <c r="Q333" t="s">
        <v>212</v>
      </c>
      <c r="R333" t="str">
        <f>"КАЗАХСТАН, АКМОЛИНСКАЯ, СТЕПНОГОРСК, -, 86, 13"</f>
        <v>КАЗАХСТАН, АКМОЛИНСКАЯ, СТЕПНОГОРСК, -, 86, 13</v>
      </c>
      <c r="S333" t="str">
        <f>"ҚАЗАҚСТАН, АҚМОЛА, СТЕПНОГОР, -, 86, 13"</f>
        <v>ҚАЗАҚСТАН, АҚМОЛА, СТЕПНОГОР, -, 86, 13</v>
      </c>
      <c r="T333" t="str">
        <f>"-, 86, 13"</f>
        <v>-, 86, 13</v>
      </c>
      <c r="U333" t="str">
        <f>"-, 86, 13"</f>
        <v>-, 86, 13</v>
      </c>
      <c r="AC333" t="str">
        <f>"2019-06-07T00:00:00"</f>
        <v>2019-06-07T00:00:00</v>
      </c>
      <c r="AD333" t="str">
        <f>"79"</f>
        <v>79</v>
      </c>
      <c r="AE333" t="str">
        <f>"2023-09-01T17:21:26"</f>
        <v>2023-09-01T17:21:26</v>
      </c>
      <c r="AF333" t="str">
        <f>"2024-05-25T17:21:26"</f>
        <v>2024-05-25T17:21:26</v>
      </c>
      <c r="AG333" t="s">
        <v>202</v>
      </c>
      <c r="AI333" t="s">
        <v>299</v>
      </c>
      <c r="AJ333" t="s">
        <v>419</v>
      </c>
      <c r="AK333" t="s">
        <v>205</v>
      </c>
      <c r="AL333" t="s">
        <v>206</v>
      </c>
      <c r="AN333" t="s">
        <v>207</v>
      </c>
      <c r="AO333">
        <v>1</v>
      </c>
      <c r="AP333" t="s">
        <v>208</v>
      </c>
      <c r="AQ333" t="s">
        <v>209</v>
      </c>
      <c r="AR333" t="s">
        <v>210</v>
      </c>
      <c r="AW333" t="s">
        <v>206</v>
      </c>
      <c r="AX333" t="s">
        <v>211</v>
      </c>
      <c r="AZ333" t="s">
        <v>209</v>
      </c>
      <c r="BI333" t="s">
        <v>212</v>
      </c>
      <c r="BJ333" t="s">
        <v>213</v>
      </c>
      <c r="BK333" t="s">
        <v>214</v>
      </c>
      <c r="BL333" t="s">
        <v>357</v>
      </c>
      <c r="BN333" t="s">
        <v>281</v>
      </c>
      <c r="BO333" t="s">
        <v>209</v>
      </c>
      <c r="BP333" t="s">
        <v>415</v>
      </c>
      <c r="BQ333" t="s">
        <v>493</v>
      </c>
      <c r="BS333" t="s">
        <v>219</v>
      </c>
      <c r="BT333" t="s">
        <v>220</v>
      </c>
      <c r="BU333" t="s">
        <v>206</v>
      </c>
      <c r="BX333" t="s">
        <v>221</v>
      </c>
      <c r="BY333" t="s">
        <v>221</v>
      </c>
      <c r="CA333" t="s">
        <v>287</v>
      </c>
      <c r="CC333" t="s">
        <v>222</v>
      </c>
      <c r="CD333" t="s">
        <v>223</v>
      </c>
      <c r="CE333" t="s">
        <v>242</v>
      </c>
      <c r="CJ333" t="s">
        <v>206</v>
      </c>
      <c r="CK333" t="s">
        <v>230</v>
      </c>
      <c r="CL333" t="s">
        <v>231</v>
      </c>
      <c r="CM333" t="s">
        <v>232</v>
      </c>
      <c r="CN333" t="s">
        <v>233</v>
      </c>
      <c r="CP333" t="s">
        <v>212</v>
      </c>
      <c r="CQ333" t="s">
        <v>212</v>
      </c>
      <c r="CR333" t="s">
        <v>212</v>
      </c>
      <c r="CS333" t="s">
        <v>212</v>
      </c>
      <c r="CY333" t="s">
        <v>212</v>
      </c>
      <c r="DB333" t="s">
        <v>234</v>
      </c>
      <c r="DE333" t="s">
        <v>212</v>
      </c>
      <c r="DF333" t="s">
        <v>212</v>
      </c>
      <c r="DG333" t="s">
        <v>235</v>
      </c>
      <c r="DH333" t="s">
        <v>212</v>
      </c>
      <c r="DJ333" t="s">
        <v>421</v>
      </c>
      <c r="DK333" t="s">
        <v>422</v>
      </c>
      <c r="DL333" t="s">
        <v>423</v>
      </c>
      <c r="DM333" t="s">
        <v>206</v>
      </c>
    </row>
    <row r="334" spans="1:184" x14ac:dyDescent="0.3">
      <c r="A334">
        <v>13263467</v>
      </c>
      <c r="B334">
        <v>799073</v>
      </c>
      <c r="C334" t="str">
        <f>"120102500745"</f>
        <v>120102500745</v>
      </c>
      <c r="D334" t="s">
        <v>1167</v>
      </c>
      <c r="E334" t="s">
        <v>532</v>
      </c>
      <c r="F334" t="s">
        <v>521</v>
      </c>
      <c r="G334" s="1">
        <v>40910</v>
      </c>
      <c r="I334" t="s">
        <v>240</v>
      </c>
      <c r="J334" t="s">
        <v>200</v>
      </c>
      <c r="K334" t="s">
        <v>306</v>
      </c>
      <c r="Q334" t="s">
        <v>212</v>
      </c>
      <c r="R334" t="str">
        <f>"КАЗАХСТАН, АКМОЛИНСКАЯ, СТЕПНОГОРСК, 36, 44"</f>
        <v>КАЗАХСТАН, АКМОЛИНСКАЯ, СТЕПНОГОРСК, 36, 44</v>
      </c>
      <c r="S334" t="str">
        <f>"ҚАЗАҚСТАН, АҚМОЛА, СТЕПНОГОР, 36, 44"</f>
        <v>ҚАЗАҚСТАН, АҚМОЛА, СТЕПНОГОР, 36, 44</v>
      </c>
      <c r="T334" t="str">
        <f>"36, 44"</f>
        <v>36, 44</v>
      </c>
      <c r="U334" t="str">
        <f>"36, 44"</f>
        <v>36, 44</v>
      </c>
      <c r="AC334" t="str">
        <f>"2019-06-26T00:00:00"</f>
        <v>2019-06-26T00:00:00</v>
      </c>
      <c r="AD334" t="str">
        <f>"99"</f>
        <v>99</v>
      </c>
      <c r="AE334" t="str">
        <f>"2023-09-01T00:12:46"</f>
        <v>2023-09-01T00:12:46</v>
      </c>
      <c r="AF334" t="str">
        <f>"2024-05-25T00:12:46"</f>
        <v>2024-05-25T00:12:46</v>
      </c>
      <c r="AG334" t="s">
        <v>202</v>
      </c>
      <c r="AI334" t="s">
        <v>299</v>
      </c>
      <c r="AJ334" t="s">
        <v>419</v>
      </c>
      <c r="AK334" t="s">
        <v>205</v>
      </c>
      <c r="AL334" t="s">
        <v>206</v>
      </c>
      <c r="AN334" t="s">
        <v>207</v>
      </c>
      <c r="AO334">
        <v>1</v>
      </c>
      <c r="AP334" t="s">
        <v>208</v>
      </c>
      <c r="AQ334" t="s">
        <v>209</v>
      </c>
      <c r="AR334" t="s">
        <v>210</v>
      </c>
      <c r="AW334" t="s">
        <v>206</v>
      </c>
      <c r="AX334" t="s">
        <v>211</v>
      </c>
      <c r="AZ334" t="s">
        <v>209</v>
      </c>
      <c r="BI334" t="s">
        <v>212</v>
      </c>
      <c r="BJ334" t="s">
        <v>213</v>
      </c>
      <c r="BK334" t="s">
        <v>214</v>
      </c>
      <c r="BL334" t="s">
        <v>215</v>
      </c>
      <c r="BN334" t="s">
        <v>216</v>
      </c>
      <c r="BO334" t="s">
        <v>209</v>
      </c>
      <c r="BP334" t="s">
        <v>415</v>
      </c>
      <c r="BQ334" t="s">
        <v>673</v>
      </c>
      <c r="BS334" t="s">
        <v>219</v>
      </c>
      <c r="BT334" t="s">
        <v>220</v>
      </c>
      <c r="BU334" t="s">
        <v>206</v>
      </c>
      <c r="BX334" t="s">
        <v>234</v>
      </c>
      <c r="BY334" t="s">
        <v>234</v>
      </c>
      <c r="CA334" t="s">
        <v>287</v>
      </c>
      <c r="CC334" t="s">
        <v>256</v>
      </c>
      <c r="CD334" t="s">
        <v>223</v>
      </c>
      <c r="CE334" t="s">
        <v>242</v>
      </c>
      <c r="CJ334" t="s">
        <v>206</v>
      </c>
      <c r="CK334" t="s">
        <v>230</v>
      </c>
      <c r="CL334" t="s">
        <v>231</v>
      </c>
      <c r="CM334" t="s">
        <v>232</v>
      </c>
      <c r="CN334" t="s">
        <v>233</v>
      </c>
      <c r="CP334" t="s">
        <v>212</v>
      </c>
      <c r="CQ334" t="s">
        <v>212</v>
      </c>
      <c r="CR334" t="s">
        <v>212</v>
      </c>
      <c r="CS334" t="s">
        <v>212</v>
      </c>
      <c r="CY334" t="s">
        <v>212</v>
      </c>
      <c r="DB334" t="s">
        <v>234</v>
      </c>
      <c r="DE334" t="s">
        <v>212</v>
      </c>
      <c r="DF334" t="s">
        <v>212</v>
      </c>
      <c r="DG334" t="s">
        <v>235</v>
      </c>
      <c r="DH334" t="s">
        <v>212</v>
      </c>
      <c r="DJ334" t="s">
        <v>236</v>
      </c>
      <c r="DM334" t="s">
        <v>212</v>
      </c>
    </row>
    <row r="335" spans="1:184" x14ac:dyDescent="0.3">
      <c r="A335">
        <v>13263459</v>
      </c>
      <c r="B335">
        <v>778476</v>
      </c>
      <c r="C335" t="str">
        <f>"130207602255"</f>
        <v>130207602255</v>
      </c>
      <c r="D335" t="s">
        <v>1168</v>
      </c>
      <c r="E335" t="s">
        <v>1169</v>
      </c>
      <c r="F335" t="s">
        <v>1170</v>
      </c>
      <c r="G335" s="1">
        <v>41312</v>
      </c>
      <c r="I335" t="s">
        <v>199</v>
      </c>
      <c r="J335" t="s">
        <v>200</v>
      </c>
      <c r="K335" t="s">
        <v>201</v>
      </c>
      <c r="Q335" t="s">
        <v>212</v>
      </c>
      <c r="R335" t="str">
        <f>"КАЗАХСТАН, АКМОЛИНСКАЯ, СТЕПНОГОРСК, 37, 29"</f>
        <v>КАЗАХСТАН, АКМОЛИНСКАЯ, СТЕПНОГОРСК, 37, 29</v>
      </c>
      <c r="S335" t="str">
        <f>"ҚАЗАҚСТАН, АҚМОЛА, СТЕПНОГОР, 37, 29"</f>
        <v>ҚАЗАҚСТАН, АҚМОЛА, СТЕПНОГОР, 37, 29</v>
      </c>
      <c r="T335" t="str">
        <f>"37, 29"</f>
        <v>37, 29</v>
      </c>
      <c r="U335" t="str">
        <f>"37, 29"</f>
        <v>37, 29</v>
      </c>
      <c r="AC335" t="str">
        <f>"2019-06-07T00:00:00"</f>
        <v>2019-06-07T00:00:00</v>
      </c>
      <c r="AD335" t="str">
        <f>"79"</f>
        <v>79</v>
      </c>
      <c r="AE335" t="str">
        <f>"2023-09-01T00:13:15"</f>
        <v>2023-09-01T00:13:15</v>
      </c>
      <c r="AF335" t="str">
        <f>"2024-05-25T00:13:15"</f>
        <v>2024-05-25T00:13:15</v>
      </c>
      <c r="AG335" t="s">
        <v>202</v>
      </c>
      <c r="AI335" t="s">
        <v>299</v>
      </c>
      <c r="AJ335" t="s">
        <v>419</v>
      </c>
      <c r="AK335" t="s">
        <v>205</v>
      </c>
      <c r="AL335" t="s">
        <v>206</v>
      </c>
      <c r="AN335" t="s">
        <v>207</v>
      </c>
      <c r="AO335">
        <v>1</v>
      </c>
      <c r="AP335" t="s">
        <v>208</v>
      </c>
      <c r="AQ335" t="s">
        <v>209</v>
      </c>
      <c r="AR335" t="s">
        <v>307</v>
      </c>
      <c r="AW335" t="s">
        <v>206</v>
      </c>
      <c r="AX335" t="s">
        <v>211</v>
      </c>
      <c r="AZ335" t="s">
        <v>209</v>
      </c>
      <c r="BI335" t="s">
        <v>212</v>
      </c>
      <c r="BJ335" t="s">
        <v>213</v>
      </c>
      <c r="BK335" t="s">
        <v>214</v>
      </c>
      <c r="BL335" t="s">
        <v>215</v>
      </c>
      <c r="BN335" t="s">
        <v>216</v>
      </c>
      <c r="BO335" t="s">
        <v>209</v>
      </c>
      <c r="BP335" t="s">
        <v>415</v>
      </c>
      <c r="BQ335" t="s">
        <v>673</v>
      </c>
      <c r="BS335" t="s">
        <v>219</v>
      </c>
      <c r="BT335" t="s">
        <v>220</v>
      </c>
      <c r="BU335" t="s">
        <v>206</v>
      </c>
      <c r="BX335" t="s">
        <v>221</v>
      </c>
      <c r="BY335" t="s">
        <v>221</v>
      </c>
      <c r="CA335" t="s">
        <v>287</v>
      </c>
      <c r="CC335" t="s">
        <v>353</v>
      </c>
      <c r="CD335" t="s">
        <v>223</v>
      </c>
      <c r="CE335" t="s">
        <v>242</v>
      </c>
      <c r="CJ335" t="s">
        <v>206</v>
      </c>
      <c r="CK335" t="s">
        <v>230</v>
      </c>
      <c r="CL335" t="s">
        <v>231</v>
      </c>
      <c r="CM335" t="s">
        <v>232</v>
      </c>
      <c r="CN335" t="s">
        <v>233</v>
      </c>
      <c r="CP335" t="s">
        <v>212</v>
      </c>
      <c r="CQ335" t="s">
        <v>212</v>
      </c>
      <c r="CR335" t="s">
        <v>212</v>
      </c>
      <c r="CS335" t="s">
        <v>212</v>
      </c>
      <c r="CY335" t="s">
        <v>212</v>
      </c>
      <c r="DB335" t="s">
        <v>234</v>
      </c>
      <c r="DE335" t="s">
        <v>212</v>
      </c>
      <c r="DF335" t="s">
        <v>212</v>
      </c>
      <c r="DG335" t="s">
        <v>235</v>
      </c>
      <c r="DH335" t="s">
        <v>212</v>
      </c>
      <c r="DJ335" t="s">
        <v>236</v>
      </c>
      <c r="DM335" t="s">
        <v>212</v>
      </c>
    </row>
    <row r="336" spans="1:184" x14ac:dyDescent="0.3">
      <c r="A336">
        <v>13263445</v>
      </c>
      <c r="B336">
        <v>760866</v>
      </c>
      <c r="C336" t="str">
        <f>"130718601374"</f>
        <v>130718601374</v>
      </c>
      <c r="D336" t="s">
        <v>1171</v>
      </c>
      <c r="E336" t="s">
        <v>1172</v>
      </c>
      <c r="F336" t="s">
        <v>368</v>
      </c>
      <c r="G336" s="1">
        <v>41473</v>
      </c>
      <c r="I336" t="s">
        <v>199</v>
      </c>
      <c r="J336" t="s">
        <v>200</v>
      </c>
      <c r="K336" t="s">
        <v>369</v>
      </c>
      <c r="Q336" t="s">
        <v>212</v>
      </c>
      <c r="R336" t="str">
        <f>"КАЗАХСТАН, АКМОЛИНСКАЯ, СТЕПНОГОРСК, 79, 37"</f>
        <v>КАЗАХСТАН, АКМОЛИНСКАЯ, СТЕПНОГОРСК, 79, 37</v>
      </c>
      <c r="S336" t="str">
        <f>"ҚАЗАҚСТАН, АҚМОЛА, СТЕПНОГОР, 79, 37"</f>
        <v>ҚАЗАҚСТАН, АҚМОЛА, СТЕПНОГОР, 79, 37</v>
      </c>
      <c r="T336" t="str">
        <f>"79, 37"</f>
        <v>79, 37</v>
      </c>
      <c r="U336" t="str">
        <f>"79, 37"</f>
        <v>79, 37</v>
      </c>
      <c r="AC336" t="str">
        <f>"2019-06-13T00:00:00"</f>
        <v>2019-06-13T00:00:00</v>
      </c>
      <c r="AD336" t="str">
        <f>"85"</f>
        <v>85</v>
      </c>
      <c r="AE336" t="str">
        <f>"2023-09-01T14:13:03"</f>
        <v>2023-09-01T14:13:03</v>
      </c>
      <c r="AF336" t="str">
        <f>"2024-05-25T14:13:03"</f>
        <v>2024-05-25T14:13:03</v>
      </c>
      <c r="AG336" t="s">
        <v>202</v>
      </c>
      <c r="AI336" t="s">
        <v>299</v>
      </c>
      <c r="AJ336" t="s">
        <v>419</v>
      </c>
      <c r="AK336" t="s">
        <v>205</v>
      </c>
      <c r="AL336" t="s">
        <v>206</v>
      </c>
      <c r="AN336" t="s">
        <v>207</v>
      </c>
      <c r="AO336">
        <v>1</v>
      </c>
      <c r="AP336" t="s">
        <v>208</v>
      </c>
      <c r="AQ336" t="s">
        <v>209</v>
      </c>
      <c r="AR336" t="s">
        <v>210</v>
      </c>
      <c r="AV336" t="str">
        <f>"2021-01-19T11:19:47"</f>
        <v>2021-01-19T11:19:47</v>
      </c>
      <c r="AW336" t="s">
        <v>206</v>
      </c>
      <c r="AX336" t="s">
        <v>211</v>
      </c>
      <c r="AZ336" t="s">
        <v>209</v>
      </c>
      <c r="BI336" t="s">
        <v>212</v>
      </c>
      <c r="BJ336" t="s">
        <v>213</v>
      </c>
      <c r="BK336" t="s">
        <v>214</v>
      </c>
      <c r="BL336" t="s">
        <v>215</v>
      </c>
      <c r="BN336" t="s">
        <v>216</v>
      </c>
      <c r="BO336" t="s">
        <v>209</v>
      </c>
      <c r="BP336" t="s">
        <v>241</v>
      </c>
      <c r="BQ336">
        <v>4</v>
      </c>
      <c r="BS336" t="s">
        <v>219</v>
      </c>
      <c r="BT336" t="s">
        <v>220</v>
      </c>
      <c r="BU336" t="s">
        <v>206</v>
      </c>
      <c r="BX336" t="s">
        <v>234</v>
      </c>
      <c r="BY336" t="s">
        <v>234</v>
      </c>
      <c r="CA336" t="s">
        <v>287</v>
      </c>
      <c r="CC336" t="s">
        <v>209</v>
      </c>
      <c r="CE336" t="s">
        <v>242</v>
      </c>
      <c r="CJ336" t="s">
        <v>206</v>
      </c>
      <c r="CK336" t="s">
        <v>230</v>
      </c>
      <c r="CL336" t="s">
        <v>231</v>
      </c>
      <c r="CM336" t="s">
        <v>232</v>
      </c>
      <c r="CN336" t="s">
        <v>233</v>
      </c>
      <c r="CP336" t="s">
        <v>212</v>
      </c>
      <c r="CQ336" t="s">
        <v>212</v>
      </c>
      <c r="CR336" t="s">
        <v>212</v>
      </c>
      <c r="CS336" t="s">
        <v>212</v>
      </c>
      <c r="CY336" t="s">
        <v>212</v>
      </c>
      <c r="DB336" t="s">
        <v>234</v>
      </c>
      <c r="DE336" t="s">
        <v>212</v>
      </c>
      <c r="DF336" t="s">
        <v>212</v>
      </c>
      <c r="DG336" t="s">
        <v>235</v>
      </c>
      <c r="DH336" t="s">
        <v>212</v>
      </c>
      <c r="DJ336" t="s">
        <v>236</v>
      </c>
      <c r="DM336" t="s">
        <v>206</v>
      </c>
    </row>
    <row r="337" spans="1:117" x14ac:dyDescent="0.3">
      <c r="A337">
        <v>13263429</v>
      </c>
      <c r="B337">
        <v>838317</v>
      </c>
      <c r="C337" t="str">
        <f>"130905602814"</f>
        <v>130905602814</v>
      </c>
      <c r="D337" t="s">
        <v>1173</v>
      </c>
      <c r="E337" t="s">
        <v>1121</v>
      </c>
      <c r="F337" t="s">
        <v>1174</v>
      </c>
      <c r="G337" s="1">
        <v>41522</v>
      </c>
      <c r="I337" t="s">
        <v>199</v>
      </c>
      <c r="J337" t="s">
        <v>200</v>
      </c>
      <c r="K337" t="s">
        <v>201</v>
      </c>
      <c r="Q337" t="s">
        <v>212</v>
      </c>
      <c r="R337" t="str">
        <f>"КАЗАХСТАН, АКМОЛИНСКАЯ, СТЕПНОГОРСК, 86, 42"</f>
        <v>КАЗАХСТАН, АКМОЛИНСКАЯ, СТЕПНОГОРСК, 86, 42</v>
      </c>
      <c r="S337" t="str">
        <f>"ҚАЗАҚСТАН, АҚМОЛА, СТЕПНОГОР, 86, 42"</f>
        <v>ҚАЗАҚСТАН, АҚМОЛА, СТЕПНОГОР, 86, 42</v>
      </c>
      <c r="T337" t="str">
        <f>"86, 42"</f>
        <v>86, 42</v>
      </c>
      <c r="U337" t="str">
        <f>"86, 42"</f>
        <v>86, 42</v>
      </c>
      <c r="AC337" t="str">
        <f>"2019-06-19T00:00:00"</f>
        <v>2019-06-19T00:00:00</v>
      </c>
      <c r="AD337" t="str">
        <f>"94"</f>
        <v>94</v>
      </c>
      <c r="AG337" t="s">
        <v>202</v>
      </c>
      <c r="AI337" t="s">
        <v>203</v>
      </c>
      <c r="AJ337" t="s">
        <v>419</v>
      </c>
      <c r="AK337" t="s">
        <v>253</v>
      </c>
      <c r="AL337" t="s">
        <v>206</v>
      </c>
      <c r="AN337" t="s">
        <v>254</v>
      </c>
      <c r="AO337">
        <v>1</v>
      </c>
      <c r="AP337" t="s">
        <v>208</v>
      </c>
      <c r="AQ337" t="s">
        <v>209</v>
      </c>
      <c r="AR337" t="s">
        <v>210</v>
      </c>
      <c r="AW337" t="s">
        <v>206</v>
      </c>
      <c r="AX337" t="s">
        <v>211</v>
      </c>
      <c r="AZ337" t="s">
        <v>209</v>
      </c>
      <c r="BI337" t="s">
        <v>212</v>
      </c>
      <c r="BJ337" t="s">
        <v>213</v>
      </c>
      <c r="BK337" t="s">
        <v>214</v>
      </c>
      <c r="BL337" t="s">
        <v>215</v>
      </c>
      <c r="BN337" t="s">
        <v>216</v>
      </c>
      <c r="BO337" t="s">
        <v>209</v>
      </c>
      <c r="BP337" t="s">
        <v>241</v>
      </c>
      <c r="BQ337">
        <v>4</v>
      </c>
      <c r="BS337" t="s">
        <v>219</v>
      </c>
      <c r="BT337" t="s">
        <v>220</v>
      </c>
      <c r="BU337" t="s">
        <v>206</v>
      </c>
      <c r="BX337" t="s">
        <v>221</v>
      </c>
      <c r="BY337" t="s">
        <v>221</v>
      </c>
      <c r="CA337" t="s">
        <v>263</v>
      </c>
      <c r="CB337" t="s">
        <v>223</v>
      </c>
      <c r="CC337" t="s">
        <v>222</v>
      </c>
      <c r="CD337" t="s">
        <v>223</v>
      </c>
      <c r="CE337" t="s">
        <v>242</v>
      </c>
      <c r="CJ337" t="s">
        <v>206</v>
      </c>
      <c r="CK337" t="s">
        <v>230</v>
      </c>
      <c r="CL337" t="s">
        <v>231</v>
      </c>
      <c r="CM337" t="s">
        <v>232</v>
      </c>
      <c r="CN337" t="s">
        <v>233</v>
      </c>
      <c r="CP337" t="s">
        <v>212</v>
      </c>
      <c r="CQ337" t="s">
        <v>212</v>
      </c>
      <c r="CR337" t="s">
        <v>212</v>
      </c>
      <c r="CS337" t="s">
        <v>212</v>
      </c>
      <c r="CY337" t="s">
        <v>212</v>
      </c>
      <c r="DB337" t="s">
        <v>234</v>
      </c>
      <c r="DE337" t="s">
        <v>212</v>
      </c>
      <c r="DF337" t="s">
        <v>212</v>
      </c>
      <c r="DG337" t="s">
        <v>235</v>
      </c>
      <c r="DH337" t="s">
        <v>212</v>
      </c>
      <c r="DJ337" t="s">
        <v>236</v>
      </c>
      <c r="DM337" t="s">
        <v>212</v>
      </c>
    </row>
    <row r="338" spans="1:117" x14ac:dyDescent="0.3">
      <c r="A338">
        <v>13263428</v>
      </c>
      <c r="B338">
        <v>154283</v>
      </c>
      <c r="C338" t="str">
        <f>"130519601808"</f>
        <v>130519601808</v>
      </c>
      <c r="D338" t="s">
        <v>462</v>
      </c>
      <c r="E338" t="s">
        <v>463</v>
      </c>
      <c r="F338" t="s">
        <v>1175</v>
      </c>
      <c r="G338" s="1">
        <v>41413</v>
      </c>
      <c r="I338" t="s">
        <v>199</v>
      </c>
      <c r="J338" t="s">
        <v>200</v>
      </c>
      <c r="K338" t="s">
        <v>201</v>
      </c>
      <c r="Q338" t="s">
        <v>212</v>
      </c>
      <c r="R338" t="str">
        <f>"КАЗАХСТАН, АКМОЛИНСКАЯ, СТЕПНОГОРСК, 50, 18"</f>
        <v>КАЗАХСТАН, АКМОЛИНСКАЯ, СТЕПНОГОРСК, 50, 18</v>
      </c>
      <c r="S338" t="str">
        <f>"ҚАЗАҚСТАН, АҚМОЛА, СТЕПНОГОР, 50, 18"</f>
        <v>ҚАЗАҚСТАН, АҚМОЛА, СТЕПНОГОР, 50, 18</v>
      </c>
      <c r="T338" t="str">
        <f>"50, 18"</f>
        <v>50, 18</v>
      </c>
      <c r="U338" t="str">
        <f>"50, 18"</f>
        <v>50, 18</v>
      </c>
      <c r="AC338" t="str">
        <f>"2019-06-07T00:00:00"</f>
        <v>2019-06-07T00:00:00</v>
      </c>
      <c r="AD338" t="str">
        <f>"79"</f>
        <v>79</v>
      </c>
      <c r="AG338" t="s">
        <v>333</v>
      </c>
      <c r="AI338" t="s">
        <v>274</v>
      </c>
      <c r="AJ338" t="s">
        <v>419</v>
      </c>
      <c r="AK338" t="s">
        <v>253</v>
      </c>
      <c r="AL338" t="s">
        <v>206</v>
      </c>
      <c r="AN338" t="s">
        <v>254</v>
      </c>
      <c r="AO338">
        <v>1</v>
      </c>
      <c r="AP338" t="s">
        <v>208</v>
      </c>
      <c r="AQ338" t="s">
        <v>209</v>
      </c>
      <c r="AR338" t="s">
        <v>210</v>
      </c>
      <c r="AW338" t="s">
        <v>206</v>
      </c>
      <c r="AX338" t="s">
        <v>211</v>
      </c>
      <c r="AZ338" t="s">
        <v>209</v>
      </c>
      <c r="BI338" t="s">
        <v>212</v>
      </c>
      <c r="BJ338" t="s">
        <v>213</v>
      </c>
      <c r="BK338" t="s">
        <v>214</v>
      </c>
      <c r="BL338" t="s">
        <v>215</v>
      </c>
      <c r="BN338" t="s">
        <v>247</v>
      </c>
      <c r="BO338" t="s">
        <v>209</v>
      </c>
      <c r="BP338" t="s">
        <v>241</v>
      </c>
      <c r="BQ338">
        <v>3</v>
      </c>
      <c r="BS338" t="s">
        <v>219</v>
      </c>
      <c r="BT338" t="s">
        <v>220</v>
      </c>
      <c r="BU338" t="s">
        <v>206</v>
      </c>
      <c r="BX338" t="s">
        <v>221</v>
      </c>
      <c r="BY338" t="s">
        <v>221</v>
      </c>
      <c r="CA338" t="s">
        <v>287</v>
      </c>
      <c r="CC338" t="s">
        <v>222</v>
      </c>
      <c r="CD338" t="s">
        <v>223</v>
      </c>
      <c r="CE338" t="s">
        <v>242</v>
      </c>
      <c r="CJ338" t="s">
        <v>206</v>
      </c>
      <c r="CK338" t="s">
        <v>230</v>
      </c>
      <c r="CL338" t="s">
        <v>231</v>
      </c>
      <c r="CM338" t="s">
        <v>232</v>
      </c>
      <c r="CN338" t="s">
        <v>233</v>
      </c>
      <c r="CP338" t="s">
        <v>212</v>
      </c>
      <c r="CQ338" t="s">
        <v>212</v>
      </c>
      <c r="CR338" t="s">
        <v>212</v>
      </c>
      <c r="CS338" t="s">
        <v>212</v>
      </c>
      <c r="CY338" t="s">
        <v>212</v>
      </c>
      <c r="DB338" t="s">
        <v>234</v>
      </c>
      <c r="DE338" t="s">
        <v>212</v>
      </c>
      <c r="DF338" t="s">
        <v>212</v>
      </c>
      <c r="DG338" t="s">
        <v>235</v>
      </c>
      <c r="DH338" t="s">
        <v>212</v>
      </c>
      <c r="DJ338" t="s">
        <v>236</v>
      </c>
      <c r="DM338" t="s">
        <v>212</v>
      </c>
    </row>
    <row r="339" spans="1:117" x14ac:dyDescent="0.3">
      <c r="A339">
        <v>13263425</v>
      </c>
      <c r="B339">
        <v>759855</v>
      </c>
      <c r="C339" t="str">
        <f>"130628604200"</f>
        <v>130628604200</v>
      </c>
      <c r="D339" t="s">
        <v>1176</v>
      </c>
      <c r="E339" t="s">
        <v>1177</v>
      </c>
      <c r="F339" t="s">
        <v>1178</v>
      </c>
      <c r="G339" s="1">
        <v>41453</v>
      </c>
      <c r="I339" t="s">
        <v>199</v>
      </c>
      <c r="J339" t="s">
        <v>200</v>
      </c>
      <c r="K339" t="s">
        <v>201</v>
      </c>
      <c r="Q339" t="s">
        <v>212</v>
      </c>
      <c r="R339" t="str">
        <f>"КАЗАХСТАН, АКМОЛИНСКАЯ, СТЕПНОГОРСК, 10, 11"</f>
        <v>КАЗАХСТАН, АКМОЛИНСКАЯ, СТЕПНОГОРСК, 10, 11</v>
      </c>
      <c r="S339" t="str">
        <f>"ҚАЗАҚСТАН, АҚМОЛА, СТЕПНОГОР, 10, 11"</f>
        <v>ҚАЗАҚСТАН, АҚМОЛА, СТЕПНОГОР, 10, 11</v>
      </c>
      <c r="T339" t="str">
        <f>"10, 11"</f>
        <v>10, 11</v>
      </c>
      <c r="U339" t="str">
        <f>"10, 11"</f>
        <v>10, 11</v>
      </c>
      <c r="AC339" t="str">
        <f>"2019-06-13T00:00:00"</f>
        <v>2019-06-13T00:00:00</v>
      </c>
      <c r="AD339" t="str">
        <f>"85"</f>
        <v>85</v>
      </c>
      <c r="AG339" t="s">
        <v>202</v>
      </c>
      <c r="AI339" t="s">
        <v>274</v>
      </c>
      <c r="AJ339" t="s">
        <v>419</v>
      </c>
      <c r="AK339" t="s">
        <v>253</v>
      </c>
      <c r="AL339" t="s">
        <v>206</v>
      </c>
      <c r="AN339" t="s">
        <v>254</v>
      </c>
      <c r="AO339">
        <v>1</v>
      </c>
      <c r="AP339" t="s">
        <v>208</v>
      </c>
      <c r="AQ339" t="s">
        <v>209</v>
      </c>
      <c r="AR339" t="s">
        <v>210</v>
      </c>
      <c r="AW339" t="s">
        <v>206</v>
      </c>
      <c r="AX339" t="s">
        <v>211</v>
      </c>
      <c r="AZ339" t="s">
        <v>209</v>
      </c>
      <c r="BI339" t="s">
        <v>212</v>
      </c>
      <c r="BJ339" t="s">
        <v>213</v>
      </c>
      <c r="BK339" t="s">
        <v>214</v>
      </c>
      <c r="BL339" t="s">
        <v>215</v>
      </c>
      <c r="BN339" t="s">
        <v>281</v>
      </c>
      <c r="BO339" t="s">
        <v>209</v>
      </c>
      <c r="BP339" t="s">
        <v>241</v>
      </c>
      <c r="BQ339">
        <v>5</v>
      </c>
      <c r="BS339" t="s">
        <v>219</v>
      </c>
      <c r="BT339" t="s">
        <v>220</v>
      </c>
      <c r="BU339" t="s">
        <v>206</v>
      </c>
      <c r="BX339" t="s">
        <v>221</v>
      </c>
      <c r="BY339" t="s">
        <v>221</v>
      </c>
      <c r="CA339" t="s">
        <v>287</v>
      </c>
      <c r="CC339" t="s">
        <v>222</v>
      </c>
      <c r="CD339" t="s">
        <v>223</v>
      </c>
      <c r="CE339" t="s">
        <v>242</v>
      </c>
      <c r="CJ339" t="s">
        <v>206</v>
      </c>
      <c r="CK339" t="s">
        <v>230</v>
      </c>
      <c r="CL339" t="s">
        <v>231</v>
      </c>
      <c r="CM339" t="s">
        <v>232</v>
      </c>
      <c r="CN339" t="s">
        <v>233</v>
      </c>
      <c r="CP339" t="s">
        <v>212</v>
      </c>
      <c r="CQ339" t="s">
        <v>212</v>
      </c>
      <c r="CR339" t="s">
        <v>212</v>
      </c>
      <c r="CS339" t="s">
        <v>212</v>
      </c>
      <c r="CY339" t="s">
        <v>212</v>
      </c>
      <c r="DB339" t="s">
        <v>234</v>
      </c>
      <c r="DE339" t="s">
        <v>212</v>
      </c>
      <c r="DF339" t="s">
        <v>212</v>
      </c>
      <c r="DG339" t="s">
        <v>235</v>
      </c>
      <c r="DH339" t="s">
        <v>212</v>
      </c>
      <c r="DJ339" t="s">
        <v>236</v>
      </c>
      <c r="DM339" t="s">
        <v>206</v>
      </c>
    </row>
    <row r="340" spans="1:117" x14ac:dyDescent="0.3">
      <c r="A340">
        <v>25477521</v>
      </c>
      <c r="B340">
        <v>863082</v>
      </c>
      <c r="C340" t="str">
        <f>"141104504438"</f>
        <v>141104504438</v>
      </c>
      <c r="D340" t="s">
        <v>1179</v>
      </c>
      <c r="E340" t="s">
        <v>238</v>
      </c>
      <c r="F340" t="s">
        <v>955</v>
      </c>
      <c r="G340" s="1">
        <v>41947</v>
      </c>
      <c r="I340" t="s">
        <v>240</v>
      </c>
      <c r="J340" t="s">
        <v>200</v>
      </c>
      <c r="K340" t="s">
        <v>201</v>
      </c>
      <c r="R340" t="str">
        <f>"КАЗАХСТАН, АКМОЛИНСКАЯ, СТЕПНОГОРСК, 43, 29"</f>
        <v>КАЗАХСТАН, АКМОЛИНСКАЯ, СТЕПНОГОРСК, 43, 29</v>
      </c>
      <c r="S340" t="str">
        <f>"ҚАЗАҚСТАН, АҚМОЛА, СТЕПНОГОР, 43, 29"</f>
        <v>ҚАЗАҚСТАН, АҚМОЛА, СТЕПНОГОР, 43, 29</v>
      </c>
      <c r="T340" t="str">
        <f t="shared" ref="T340:U342" si="10">"43, 29"</f>
        <v>43, 29</v>
      </c>
      <c r="U340" t="str">
        <f t="shared" si="10"/>
        <v>43, 29</v>
      </c>
      <c r="AC340" t="str">
        <f>"2023-08-10T00:00:00"</f>
        <v>2023-08-10T00:00:00</v>
      </c>
      <c r="AD340" t="str">
        <f>"51"</f>
        <v>51</v>
      </c>
      <c r="AG340" t="s">
        <v>202</v>
      </c>
      <c r="AI340" t="s">
        <v>274</v>
      </c>
      <c r="AJ340" t="s">
        <v>540</v>
      </c>
      <c r="AK340" t="s">
        <v>205</v>
      </c>
      <c r="AL340" t="s">
        <v>206</v>
      </c>
      <c r="AN340" t="s">
        <v>207</v>
      </c>
      <c r="AO340">
        <v>2</v>
      </c>
      <c r="AP340" t="s">
        <v>208</v>
      </c>
      <c r="AQ340" t="s">
        <v>209</v>
      </c>
      <c r="AR340" t="s">
        <v>502</v>
      </c>
      <c r="AW340" t="s">
        <v>212</v>
      </c>
      <c r="AZ340" t="s">
        <v>209</v>
      </c>
      <c r="BI340" t="s">
        <v>212</v>
      </c>
      <c r="BJ340" t="s">
        <v>213</v>
      </c>
      <c r="BK340" t="s">
        <v>214</v>
      </c>
      <c r="BL340" t="s">
        <v>357</v>
      </c>
      <c r="BN340" t="s">
        <v>281</v>
      </c>
      <c r="BO340" t="s">
        <v>209</v>
      </c>
      <c r="BP340" t="s">
        <v>241</v>
      </c>
      <c r="BQ340">
        <v>5</v>
      </c>
      <c r="BS340" t="s">
        <v>219</v>
      </c>
      <c r="BT340" t="s">
        <v>220</v>
      </c>
      <c r="BU340" t="s">
        <v>206</v>
      </c>
      <c r="BZ340" t="s">
        <v>541</v>
      </c>
      <c r="CA340" t="s">
        <v>287</v>
      </c>
      <c r="CC340" t="s">
        <v>209</v>
      </c>
      <c r="CE340" t="s">
        <v>242</v>
      </c>
      <c r="CJ340" t="s">
        <v>206</v>
      </c>
      <c r="CK340" t="s">
        <v>230</v>
      </c>
      <c r="CL340" t="s">
        <v>231</v>
      </c>
      <c r="CM340" t="s">
        <v>232</v>
      </c>
      <c r="CN340" t="s">
        <v>233</v>
      </c>
      <c r="CP340" t="s">
        <v>212</v>
      </c>
      <c r="CQ340" t="s">
        <v>212</v>
      </c>
      <c r="CR340" t="s">
        <v>212</v>
      </c>
      <c r="CS340" t="s">
        <v>212</v>
      </c>
      <c r="CY340" t="s">
        <v>212</v>
      </c>
      <c r="DB340" t="s">
        <v>234</v>
      </c>
      <c r="DE340" t="s">
        <v>212</v>
      </c>
      <c r="DF340" t="s">
        <v>212</v>
      </c>
      <c r="DG340" t="s">
        <v>235</v>
      </c>
      <c r="DH340" t="s">
        <v>212</v>
      </c>
      <c r="DJ340" t="s">
        <v>236</v>
      </c>
      <c r="DM340" t="s">
        <v>206</v>
      </c>
    </row>
    <row r="341" spans="1:117" x14ac:dyDescent="0.3">
      <c r="A341">
        <v>25477615</v>
      </c>
      <c r="B341">
        <v>863150</v>
      </c>
      <c r="C341" t="str">
        <f>"151230600914"</f>
        <v>151230600914</v>
      </c>
      <c r="D341" t="s">
        <v>1180</v>
      </c>
      <c r="E341" t="s">
        <v>1181</v>
      </c>
      <c r="F341" t="s">
        <v>1024</v>
      </c>
      <c r="G341" s="1">
        <v>42368</v>
      </c>
      <c r="I341" t="s">
        <v>199</v>
      </c>
      <c r="J341" t="s">
        <v>200</v>
      </c>
      <c r="K341" t="s">
        <v>201</v>
      </c>
      <c r="L341" t="s">
        <v>212</v>
      </c>
      <c r="Q341" t="s">
        <v>212</v>
      </c>
      <c r="R341" t="str">
        <f>"КАЗАХСТАН, АКМОЛИНСКАЯ, СТЕПНОГОРСК, 43, 29"</f>
        <v>КАЗАХСТАН, АКМОЛИНСКАЯ, СТЕПНОГОРСК, 43, 29</v>
      </c>
      <c r="S341" t="str">
        <f>"ҚАЗАҚСТАН, АҚМОЛА, СТЕПНОГОР, 43, 29"</f>
        <v>ҚАЗАҚСТАН, АҚМОЛА, СТЕПНОГОР, 43, 29</v>
      </c>
      <c r="T341" t="str">
        <f t="shared" si="10"/>
        <v>43, 29</v>
      </c>
      <c r="U341" t="str">
        <f t="shared" si="10"/>
        <v>43, 29</v>
      </c>
      <c r="AC341" t="str">
        <f>"2023-08-25T00:00:00"</f>
        <v>2023-08-25T00:00:00</v>
      </c>
      <c r="AD341" t="str">
        <f>"201"</f>
        <v>201</v>
      </c>
      <c r="AE341" t="str">
        <f>"2023-09-01T17:36:57"</f>
        <v>2023-09-01T17:36:57</v>
      </c>
      <c r="AF341" t="str">
        <f>"2024-05-25T17:36:57"</f>
        <v>2024-05-25T17:36:57</v>
      </c>
      <c r="AG341" t="s">
        <v>202</v>
      </c>
      <c r="AI341" t="s">
        <v>274</v>
      </c>
      <c r="AJ341" t="s">
        <v>660</v>
      </c>
      <c r="AK341" t="s">
        <v>205</v>
      </c>
      <c r="AL341" t="s">
        <v>206</v>
      </c>
      <c r="AN341" t="s">
        <v>207</v>
      </c>
      <c r="AO341">
        <v>1</v>
      </c>
      <c r="AP341" t="s">
        <v>208</v>
      </c>
      <c r="AQ341" t="s">
        <v>209</v>
      </c>
      <c r="AR341" t="s">
        <v>502</v>
      </c>
      <c r="AW341" t="s">
        <v>212</v>
      </c>
      <c r="AZ341" t="s">
        <v>209</v>
      </c>
      <c r="BI341" t="s">
        <v>212</v>
      </c>
      <c r="BJ341" t="s">
        <v>213</v>
      </c>
      <c r="BK341" t="s">
        <v>214</v>
      </c>
      <c r="BL341" t="s">
        <v>357</v>
      </c>
      <c r="BN341" t="s">
        <v>661</v>
      </c>
      <c r="BO341" t="s">
        <v>209</v>
      </c>
      <c r="BS341" t="s">
        <v>220</v>
      </c>
      <c r="BU341" t="s">
        <v>212</v>
      </c>
      <c r="BZ341" t="s">
        <v>662</v>
      </c>
      <c r="CA341" t="s">
        <v>287</v>
      </c>
      <c r="CC341" t="s">
        <v>222</v>
      </c>
      <c r="CD341" t="s">
        <v>349</v>
      </c>
      <c r="CE341" t="s">
        <v>242</v>
      </c>
      <c r="CJ341" t="s">
        <v>206</v>
      </c>
      <c r="CK341" t="s">
        <v>230</v>
      </c>
      <c r="CL341" t="s">
        <v>231</v>
      </c>
      <c r="CM341" t="s">
        <v>232</v>
      </c>
      <c r="CN341" t="s">
        <v>233</v>
      </c>
      <c r="CP341" t="s">
        <v>212</v>
      </c>
      <c r="CQ341" t="s">
        <v>212</v>
      </c>
      <c r="CR341" t="s">
        <v>212</v>
      </c>
      <c r="CS341" t="s">
        <v>212</v>
      </c>
      <c r="CY341" t="s">
        <v>212</v>
      </c>
      <c r="DB341" t="s">
        <v>234</v>
      </c>
      <c r="DE341" t="s">
        <v>212</v>
      </c>
      <c r="DF341" t="s">
        <v>212</v>
      </c>
      <c r="DG341" t="s">
        <v>235</v>
      </c>
      <c r="DH341" t="s">
        <v>212</v>
      </c>
      <c r="DJ341" t="s">
        <v>236</v>
      </c>
      <c r="DM341" t="s">
        <v>206</v>
      </c>
    </row>
    <row r="342" spans="1:117" x14ac:dyDescent="0.3">
      <c r="A342">
        <v>25477661</v>
      </c>
      <c r="B342">
        <v>207480</v>
      </c>
      <c r="C342" t="str">
        <f>"121020501384"</f>
        <v>121020501384</v>
      </c>
      <c r="D342" t="s">
        <v>1179</v>
      </c>
      <c r="E342" t="s">
        <v>548</v>
      </c>
      <c r="F342" t="s">
        <v>955</v>
      </c>
      <c r="G342" s="1">
        <v>41202</v>
      </c>
      <c r="I342" t="s">
        <v>240</v>
      </c>
      <c r="J342" t="s">
        <v>200</v>
      </c>
      <c r="K342" t="s">
        <v>201</v>
      </c>
      <c r="R342" t="str">
        <f>"КАЗАХСТАН, АКМОЛИНСКАЯ, СТЕПНОГОРСК, 43, 29"</f>
        <v>КАЗАХСТАН, АКМОЛИНСКАЯ, СТЕПНОГОРСК, 43, 29</v>
      </c>
      <c r="S342" t="str">
        <f>"ҚАЗАҚСТАН, АҚМОЛА, СТЕПНОГОР, 43, 29"</f>
        <v>ҚАЗАҚСТАН, АҚМОЛА, СТЕПНОГОР, 43, 29</v>
      </c>
      <c r="T342" t="str">
        <f t="shared" si="10"/>
        <v>43, 29</v>
      </c>
      <c r="U342" t="str">
        <f t="shared" si="10"/>
        <v>43, 29</v>
      </c>
      <c r="AC342" t="str">
        <f>"2023-08-10T00:00:00"</f>
        <v>2023-08-10T00:00:00</v>
      </c>
      <c r="AD342" t="str">
        <f>"51"</f>
        <v>51</v>
      </c>
      <c r="AG342" t="s">
        <v>202</v>
      </c>
      <c r="AI342" t="s">
        <v>299</v>
      </c>
      <c r="AJ342" t="s">
        <v>419</v>
      </c>
      <c r="AK342" t="s">
        <v>246</v>
      </c>
      <c r="AL342" t="s">
        <v>206</v>
      </c>
      <c r="AN342" t="s">
        <v>207</v>
      </c>
      <c r="AO342">
        <v>1</v>
      </c>
      <c r="AP342" t="s">
        <v>208</v>
      </c>
      <c r="AQ342" t="s">
        <v>209</v>
      </c>
      <c r="AR342" t="s">
        <v>210</v>
      </c>
      <c r="AW342" t="s">
        <v>206</v>
      </c>
      <c r="AX342" t="s">
        <v>211</v>
      </c>
      <c r="AZ342" t="s">
        <v>209</v>
      </c>
      <c r="BI342" t="s">
        <v>212</v>
      </c>
      <c r="BJ342" t="s">
        <v>213</v>
      </c>
      <c r="BK342" t="s">
        <v>214</v>
      </c>
      <c r="BL342" t="s">
        <v>215</v>
      </c>
      <c r="BN342" t="s">
        <v>247</v>
      </c>
      <c r="BO342" t="s">
        <v>209</v>
      </c>
      <c r="BP342" t="s">
        <v>241</v>
      </c>
      <c r="BQ342">
        <v>3</v>
      </c>
      <c r="BS342" t="s">
        <v>219</v>
      </c>
      <c r="BT342" t="s">
        <v>220</v>
      </c>
      <c r="BU342" t="s">
        <v>206</v>
      </c>
      <c r="CA342" t="s">
        <v>287</v>
      </c>
      <c r="CC342" t="s">
        <v>1182</v>
      </c>
      <c r="CD342" t="s">
        <v>223</v>
      </c>
      <c r="CE342" t="s">
        <v>242</v>
      </c>
      <c r="CJ342" t="s">
        <v>206</v>
      </c>
      <c r="CK342" t="s">
        <v>230</v>
      </c>
      <c r="CL342" t="s">
        <v>231</v>
      </c>
      <c r="CM342" t="s">
        <v>232</v>
      </c>
      <c r="CN342" t="s">
        <v>233</v>
      </c>
      <c r="CP342" t="s">
        <v>212</v>
      </c>
      <c r="CQ342" t="s">
        <v>212</v>
      </c>
      <c r="CR342" t="s">
        <v>212</v>
      </c>
      <c r="CS342" t="s">
        <v>212</v>
      </c>
      <c r="CY342" t="s">
        <v>212</v>
      </c>
      <c r="DB342" t="s">
        <v>234</v>
      </c>
      <c r="DE342" t="s">
        <v>212</v>
      </c>
      <c r="DF342" t="s">
        <v>212</v>
      </c>
      <c r="DG342" t="s">
        <v>235</v>
      </c>
      <c r="DH342" t="s">
        <v>212</v>
      </c>
      <c r="DJ342" t="s">
        <v>236</v>
      </c>
      <c r="DM342" t="s">
        <v>206</v>
      </c>
    </row>
    <row r="343" spans="1:117" x14ac:dyDescent="0.3">
      <c r="A343">
        <v>25478210</v>
      </c>
      <c r="B343">
        <v>183486</v>
      </c>
      <c r="C343" t="str">
        <f>"091028553828"</f>
        <v>091028553828</v>
      </c>
      <c r="D343" t="s">
        <v>1183</v>
      </c>
      <c r="E343" t="s">
        <v>860</v>
      </c>
      <c r="F343" t="s">
        <v>676</v>
      </c>
      <c r="G343" s="1">
        <v>40114</v>
      </c>
      <c r="I343" t="s">
        <v>240</v>
      </c>
      <c r="J343" t="s">
        <v>200</v>
      </c>
      <c r="K343" t="s">
        <v>1184</v>
      </c>
      <c r="Q343" t="s">
        <v>212</v>
      </c>
      <c r="R343" t="str">
        <f>"КАЗАХСТАН, АКМОЛИНСКАЯ, СТЕПНОГОРСК, 17А, 305"</f>
        <v>КАЗАХСТАН, АКМОЛИНСКАЯ, СТЕПНОГОРСК, 17А, 305</v>
      </c>
      <c r="S343" t="str">
        <f>"ҚАЗАҚСТАН, АҚМОЛА, СТЕПНОГОР, 17А, 305"</f>
        <v>ҚАЗАҚСТАН, АҚМОЛА, СТЕПНОГОР, 17А, 305</v>
      </c>
      <c r="T343" t="str">
        <f>"17А, 305"</f>
        <v>17А, 305</v>
      </c>
      <c r="U343" t="str">
        <f>"17А, 305"</f>
        <v>17А, 305</v>
      </c>
      <c r="AC343" t="str">
        <f>"2023-08-21T00:00:00"</f>
        <v>2023-08-21T00:00:00</v>
      </c>
      <c r="AD343" t="str">
        <f>"58"</f>
        <v>58</v>
      </c>
      <c r="AG343" t="s">
        <v>202</v>
      </c>
      <c r="AH343" t="str">
        <f>"matvei@mail.ru"</f>
        <v>matvei@mail.ru</v>
      </c>
      <c r="AI343" t="s">
        <v>299</v>
      </c>
      <c r="AJ343" t="s">
        <v>286</v>
      </c>
      <c r="AK343" t="s">
        <v>261</v>
      </c>
      <c r="AL343" t="s">
        <v>206</v>
      </c>
      <c r="AN343" t="s">
        <v>207</v>
      </c>
      <c r="AO343">
        <v>1</v>
      </c>
      <c r="AP343" t="s">
        <v>208</v>
      </c>
      <c r="AQ343" t="s">
        <v>209</v>
      </c>
      <c r="AR343" t="s">
        <v>210</v>
      </c>
      <c r="AW343" t="s">
        <v>206</v>
      </c>
      <c r="AX343" t="s">
        <v>211</v>
      </c>
      <c r="AZ343" t="s">
        <v>209</v>
      </c>
      <c r="BI343" t="s">
        <v>212</v>
      </c>
      <c r="BJ343" t="s">
        <v>213</v>
      </c>
      <c r="BK343" t="s">
        <v>214</v>
      </c>
      <c r="BL343" t="s">
        <v>357</v>
      </c>
      <c r="BN343" t="s">
        <v>247</v>
      </c>
      <c r="BO343" t="s">
        <v>209</v>
      </c>
      <c r="BP343" t="s">
        <v>241</v>
      </c>
      <c r="BQ343">
        <v>3</v>
      </c>
      <c r="BS343" t="s">
        <v>219</v>
      </c>
      <c r="BT343" t="s">
        <v>220</v>
      </c>
      <c r="BU343" t="s">
        <v>206</v>
      </c>
      <c r="BX343" t="s">
        <v>234</v>
      </c>
      <c r="BY343" t="s">
        <v>234</v>
      </c>
      <c r="CA343" t="s">
        <v>287</v>
      </c>
      <c r="CC343" t="s">
        <v>718</v>
      </c>
      <c r="CD343" t="s">
        <v>223</v>
      </c>
      <c r="CE343" t="s">
        <v>242</v>
      </c>
      <c r="CJ343" t="s">
        <v>206</v>
      </c>
      <c r="CK343" t="s">
        <v>230</v>
      </c>
      <c r="CL343" t="s">
        <v>231</v>
      </c>
      <c r="CM343" t="s">
        <v>232</v>
      </c>
      <c r="CN343" t="s">
        <v>233</v>
      </c>
      <c r="CP343" t="s">
        <v>212</v>
      </c>
      <c r="CQ343" t="s">
        <v>212</v>
      </c>
      <c r="CR343" t="s">
        <v>212</v>
      </c>
      <c r="CS343" t="s">
        <v>212</v>
      </c>
      <c r="CY343" t="s">
        <v>212</v>
      </c>
      <c r="DB343" t="s">
        <v>234</v>
      </c>
      <c r="DE343" t="s">
        <v>212</v>
      </c>
      <c r="DF343" t="s">
        <v>212</v>
      </c>
      <c r="DG343" t="s">
        <v>235</v>
      </c>
      <c r="DH343" t="s">
        <v>212</v>
      </c>
      <c r="DJ343" t="s">
        <v>236</v>
      </c>
      <c r="DM343" t="s">
        <v>212</v>
      </c>
    </row>
    <row r="344" spans="1:117" x14ac:dyDescent="0.3">
      <c r="A344">
        <v>25486164</v>
      </c>
      <c r="B344">
        <v>12735260</v>
      </c>
      <c r="C344" t="str">
        <f>"161227605613"</f>
        <v>161227605613</v>
      </c>
      <c r="D344" t="s">
        <v>1185</v>
      </c>
      <c r="E344" t="s">
        <v>773</v>
      </c>
      <c r="F344" t="s">
        <v>514</v>
      </c>
      <c r="G344" s="1">
        <v>42731</v>
      </c>
      <c r="I344" t="s">
        <v>199</v>
      </c>
      <c r="J344" t="s">
        <v>200</v>
      </c>
      <c r="K344" t="s">
        <v>201</v>
      </c>
      <c r="Q344" t="s">
        <v>212</v>
      </c>
      <c r="R344" t="str">
        <f>"КАЗАХСТАН, АКМОЛИНСКАЯ, СТЕПНОГОРСК, Бестобе, 31"</f>
        <v>КАЗАХСТАН, АКМОЛИНСКАЯ, СТЕПНОГОРСК, Бестобе, 31</v>
      </c>
      <c r="S344" t="str">
        <f>"ҚАЗАҚСТАН, АҚМОЛА, СТЕПНОГОР, Бестобе, 31"</f>
        <v>ҚАЗАҚСТАН, АҚМОЛА, СТЕПНОГОР, Бестобе, 31</v>
      </c>
      <c r="T344" t="str">
        <f t="shared" ref="T344:U346" si="11">"Бестобе, 31"</f>
        <v>Бестобе, 31</v>
      </c>
      <c r="U344" t="str">
        <f t="shared" si="11"/>
        <v>Бестобе, 31</v>
      </c>
      <c r="AC344" t="str">
        <f>"2023-12-01T00:00:00"</f>
        <v>2023-12-01T00:00:00</v>
      </c>
      <c r="AD344" t="str">
        <f>"109"</f>
        <v>109</v>
      </c>
      <c r="AG344" t="s">
        <v>202</v>
      </c>
      <c r="AI344" t="s">
        <v>274</v>
      </c>
      <c r="AJ344" t="s">
        <v>660</v>
      </c>
      <c r="AK344" t="s">
        <v>205</v>
      </c>
      <c r="AL344" t="s">
        <v>206</v>
      </c>
      <c r="AN344" t="s">
        <v>207</v>
      </c>
      <c r="AO344">
        <v>1</v>
      </c>
      <c r="AP344" t="s">
        <v>208</v>
      </c>
      <c r="AQ344" t="s">
        <v>209</v>
      </c>
      <c r="AR344" t="s">
        <v>502</v>
      </c>
      <c r="AW344" t="s">
        <v>212</v>
      </c>
      <c r="AZ344" t="s">
        <v>209</v>
      </c>
      <c r="BI344" t="s">
        <v>212</v>
      </c>
      <c r="BJ344" t="s">
        <v>213</v>
      </c>
      <c r="BK344" t="s">
        <v>214</v>
      </c>
      <c r="BL344" t="s">
        <v>357</v>
      </c>
      <c r="BN344" t="s">
        <v>661</v>
      </c>
      <c r="BO344" t="s">
        <v>209</v>
      </c>
      <c r="BS344" t="s">
        <v>220</v>
      </c>
      <c r="BU344" t="s">
        <v>212</v>
      </c>
      <c r="BZ344" t="s">
        <v>662</v>
      </c>
      <c r="CA344" t="s">
        <v>287</v>
      </c>
      <c r="CC344" t="s">
        <v>209</v>
      </c>
      <c r="CE344" t="s">
        <v>242</v>
      </c>
      <c r="CJ344" t="s">
        <v>206</v>
      </c>
      <c r="CK344" t="s">
        <v>230</v>
      </c>
      <c r="CL344" t="s">
        <v>231</v>
      </c>
      <c r="CM344" t="s">
        <v>232</v>
      </c>
      <c r="CN344" t="s">
        <v>233</v>
      </c>
      <c r="CP344" t="s">
        <v>212</v>
      </c>
      <c r="CQ344" t="s">
        <v>212</v>
      </c>
      <c r="CR344" t="s">
        <v>212</v>
      </c>
      <c r="CS344" t="s">
        <v>212</v>
      </c>
      <c r="CY344" t="s">
        <v>212</v>
      </c>
      <c r="DB344" t="s">
        <v>234</v>
      </c>
      <c r="DE344" t="s">
        <v>212</v>
      </c>
      <c r="DF344" t="s">
        <v>212</v>
      </c>
      <c r="DG344" t="s">
        <v>235</v>
      </c>
      <c r="DH344" t="s">
        <v>212</v>
      </c>
      <c r="DI344" t="s">
        <v>1026</v>
      </c>
      <c r="DJ344" t="s">
        <v>236</v>
      </c>
      <c r="DM344" t="s">
        <v>206</v>
      </c>
    </row>
    <row r="345" spans="1:117" x14ac:dyDescent="0.3">
      <c r="A345">
        <v>25490330</v>
      </c>
      <c r="B345">
        <v>178849</v>
      </c>
      <c r="C345" t="str">
        <f>"090920554169"</f>
        <v>090920554169</v>
      </c>
      <c r="D345" t="s">
        <v>1186</v>
      </c>
      <c r="E345" t="s">
        <v>1187</v>
      </c>
      <c r="F345" t="s">
        <v>1188</v>
      </c>
      <c r="G345" s="1">
        <v>40076</v>
      </c>
      <c r="I345" t="s">
        <v>240</v>
      </c>
      <c r="J345" t="s">
        <v>200</v>
      </c>
      <c r="K345" t="s">
        <v>201</v>
      </c>
      <c r="Q345" t="s">
        <v>212</v>
      </c>
      <c r="R345" t="str">
        <f>"КАЗАХСТАН, АКМОЛИНСКАЯ, СТЕПНОГОРСК, Бестобе, 31"</f>
        <v>КАЗАХСТАН, АКМОЛИНСКАЯ, СТЕПНОГОРСК, Бестобе, 31</v>
      </c>
      <c r="S345" t="str">
        <f>"ҚАЗАҚСТАН, АҚМОЛА, СТЕПНОГОР, Бестобе, 31"</f>
        <v>ҚАЗАҚСТАН, АҚМОЛА, СТЕПНОГОР, Бестобе, 31</v>
      </c>
      <c r="T345" t="str">
        <f t="shared" si="11"/>
        <v>Бестобе, 31</v>
      </c>
      <c r="U345" t="str">
        <f t="shared" si="11"/>
        <v>Бестобе, 31</v>
      </c>
      <c r="AC345" t="str">
        <f>"2023-08-28T00:00:00"</f>
        <v>2023-08-28T00:00:00</v>
      </c>
      <c r="AD345" t="str">
        <f>"67"</f>
        <v>67</v>
      </c>
      <c r="AG345" t="s">
        <v>202</v>
      </c>
      <c r="AH345" t="str">
        <f>"nnajmanov20@gmail.com"</f>
        <v>nnajmanov20@gmail.com</v>
      </c>
      <c r="AI345" t="s">
        <v>274</v>
      </c>
      <c r="AJ345" t="s">
        <v>286</v>
      </c>
      <c r="AK345" t="s">
        <v>253</v>
      </c>
      <c r="AL345" t="s">
        <v>206</v>
      </c>
      <c r="AN345" t="s">
        <v>254</v>
      </c>
      <c r="AO345">
        <v>1</v>
      </c>
      <c r="AP345" t="s">
        <v>208</v>
      </c>
      <c r="AQ345" t="s">
        <v>209</v>
      </c>
      <c r="AR345" t="s">
        <v>210</v>
      </c>
      <c r="AW345" t="s">
        <v>206</v>
      </c>
      <c r="AX345" t="s">
        <v>211</v>
      </c>
      <c r="AZ345" t="s">
        <v>209</v>
      </c>
      <c r="BI345" t="s">
        <v>212</v>
      </c>
      <c r="BJ345" t="s">
        <v>213</v>
      </c>
      <c r="BK345" t="s">
        <v>214</v>
      </c>
      <c r="BL345" t="s">
        <v>215</v>
      </c>
      <c r="BN345" t="s">
        <v>247</v>
      </c>
      <c r="BO345" t="s">
        <v>209</v>
      </c>
      <c r="BP345" t="s">
        <v>217</v>
      </c>
      <c r="BQ345" t="s">
        <v>1189</v>
      </c>
      <c r="BS345" t="s">
        <v>219</v>
      </c>
      <c r="BT345" t="s">
        <v>220</v>
      </c>
      <c r="BU345" t="s">
        <v>206</v>
      </c>
      <c r="CA345" t="s">
        <v>287</v>
      </c>
      <c r="CC345" t="s">
        <v>1190</v>
      </c>
      <c r="CD345" t="s">
        <v>223</v>
      </c>
      <c r="CE345" t="s">
        <v>242</v>
      </c>
      <c r="CJ345" t="s">
        <v>206</v>
      </c>
      <c r="CK345" t="s">
        <v>230</v>
      </c>
      <c r="CL345" t="s">
        <v>231</v>
      </c>
      <c r="CM345" t="s">
        <v>232</v>
      </c>
      <c r="CN345" t="s">
        <v>233</v>
      </c>
      <c r="CP345" t="s">
        <v>212</v>
      </c>
      <c r="CQ345" t="s">
        <v>212</v>
      </c>
      <c r="CR345" t="s">
        <v>212</v>
      </c>
      <c r="CS345" t="s">
        <v>212</v>
      </c>
      <c r="CY345" t="s">
        <v>212</v>
      </c>
      <c r="DB345" t="s">
        <v>234</v>
      </c>
      <c r="DE345" t="s">
        <v>212</v>
      </c>
      <c r="DF345" t="s">
        <v>212</v>
      </c>
      <c r="DG345" t="s">
        <v>235</v>
      </c>
      <c r="DH345" t="s">
        <v>212</v>
      </c>
      <c r="DJ345" t="s">
        <v>421</v>
      </c>
      <c r="DK345" t="s">
        <v>707</v>
      </c>
      <c r="DL345" t="s">
        <v>423</v>
      </c>
      <c r="DM345" t="s">
        <v>206</v>
      </c>
    </row>
    <row r="346" spans="1:117" x14ac:dyDescent="0.3">
      <c r="A346">
        <v>25490376</v>
      </c>
      <c r="B346">
        <v>8924844</v>
      </c>
      <c r="C346" t="str">
        <f>"150301504864"</f>
        <v>150301504864</v>
      </c>
      <c r="D346" t="s">
        <v>1186</v>
      </c>
      <c r="E346" t="s">
        <v>1154</v>
      </c>
      <c r="F346" t="s">
        <v>1188</v>
      </c>
      <c r="G346" s="1">
        <v>42064</v>
      </c>
      <c r="I346" t="s">
        <v>240</v>
      </c>
      <c r="J346" t="s">
        <v>200</v>
      </c>
      <c r="K346" t="s">
        <v>201</v>
      </c>
      <c r="Q346" t="s">
        <v>212</v>
      </c>
      <c r="R346" t="str">
        <f>"КАЗАХСТАН, АКМОЛИНСКАЯ, СТЕПНОГОРСК, Бестобе, 31"</f>
        <v>КАЗАХСТАН, АКМОЛИНСКАЯ, СТЕПНОГОРСК, Бестобе, 31</v>
      </c>
      <c r="S346" t="str">
        <f>"ҚАЗАҚСТАН, АҚМОЛА, СТЕПНОГОР, Бестобе, 31"</f>
        <v>ҚАЗАҚСТАН, АҚМОЛА, СТЕПНОГОР, Бестобе, 31</v>
      </c>
      <c r="T346" t="str">
        <f t="shared" si="11"/>
        <v>Бестобе, 31</v>
      </c>
      <c r="U346" t="str">
        <f t="shared" si="11"/>
        <v>Бестобе, 31</v>
      </c>
      <c r="AC346" t="str">
        <f>"2023-08-28T00:00:00"</f>
        <v>2023-08-28T00:00:00</v>
      </c>
      <c r="AD346" t="str">
        <f>"67"</f>
        <v>67</v>
      </c>
      <c r="AE346" t="str">
        <f>"2023-09-01T22:46:42"</f>
        <v>2023-09-01T22:46:42</v>
      </c>
      <c r="AF346" t="str">
        <f>"2024-05-25T22:46:42"</f>
        <v>2024-05-25T22:46:42</v>
      </c>
      <c r="AG346" t="s">
        <v>202</v>
      </c>
      <c r="AI346" t="s">
        <v>274</v>
      </c>
      <c r="AJ346" t="s">
        <v>570</v>
      </c>
      <c r="AK346" t="s">
        <v>434</v>
      </c>
      <c r="AL346" t="s">
        <v>206</v>
      </c>
      <c r="AN346" t="s">
        <v>254</v>
      </c>
      <c r="AO346">
        <v>2</v>
      </c>
      <c r="AP346" t="s">
        <v>208</v>
      </c>
      <c r="AQ346" t="s">
        <v>209</v>
      </c>
      <c r="AR346" t="s">
        <v>502</v>
      </c>
      <c r="AW346" t="s">
        <v>212</v>
      </c>
      <c r="AZ346" t="s">
        <v>209</v>
      </c>
      <c r="BI346" t="s">
        <v>212</v>
      </c>
      <c r="BJ346" t="s">
        <v>213</v>
      </c>
      <c r="BK346" t="s">
        <v>214</v>
      </c>
      <c r="BL346" t="s">
        <v>357</v>
      </c>
      <c r="BN346" t="s">
        <v>216</v>
      </c>
      <c r="BO346" t="s">
        <v>209</v>
      </c>
      <c r="BP346" t="s">
        <v>241</v>
      </c>
      <c r="BQ346">
        <v>4</v>
      </c>
      <c r="BS346" t="s">
        <v>220</v>
      </c>
      <c r="BU346" t="s">
        <v>212</v>
      </c>
      <c r="BZ346" t="s">
        <v>571</v>
      </c>
      <c r="CA346" t="s">
        <v>287</v>
      </c>
      <c r="CC346" t="s">
        <v>209</v>
      </c>
      <c r="CE346" t="s">
        <v>342</v>
      </c>
      <c r="CF346" t="s">
        <v>610</v>
      </c>
      <c r="CG346" t="s">
        <v>343</v>
      </c>
      <c r="CH346" t="s">
        <v>627</v>
      </c>
      <c r="CI346" t="s">
        <v>1191</v>
      </c>
      <c r="CJ346" t="s">
        <v>206</v>
      </c>
      <c r="CK346" t="s">
        <v>230</v>
      </c>
      <c r="CL346" t="s">
        <v>231</v>
      </c>
      <c r="CM346" t="s">
        <v>232</v>
      </c>
      <c r="CN346" t="s">
        <v>233</v>
      </c>
      <c r="CP346" t="s">
        <v>212</v>
      </c>
      <c r="CQ346" t="s">
        <v>212</v>
      </c>
      <c r="CR346" t="s">
        <v>212</v>
      </c>
      <c r="CS346" t="s">
        <v>212</v>
      </c>
      <c r="CY346" t="s">
        <v>212</v>
      </c>
      <c r="DB346" t="s">
        <v>234</v>
      </c>
      <c r="DE346" t="s">
        <v>212</v>
      </c>
      <c r="DF346" t="s">
        <v>212</v>
      </c>
      <c r="DG346" t="s">
        <v>235</v>
      </c>
      <c r="DH346" t="s">
        <v>212</v>
      </c>
      <c r="DJ346" t="s">
        <v>236</v>
      </c>
      <c r="DM346" t="s">
        <v>206</v>
      </c>
    </row>
    <row r="347" spans="1:117" x14ac:dyDescent="0.3">
      <c r="A347">
        <v>13263422</v>
      </c>
      <c r="B347">
        <v>802666</v>
      </c>
      <c r="C347" t="str">
        <f>"131201502962"</f>
        <v>131201502962</v>
      </c>
      <c r="D347" t="s">
        <v>427</v>
      </c>
      <c r="E347" t="s">
        <v>1192</v>
      </c>
      <c r="F347" t="s">
        <v>429</v>
      </c>
      <c r="G347" s="1">
        <v>41609</v>
      </c>
      <c r="I347" t="s">
        <v>240</v>
      </c>
      <c r="J347" t="s">
        <v>200</v>
      </c>
      <c r="K347" t="s">
        <v>201</v>
      </c>
      <c r="Q347" t="s">
        <v>212</v>
      </c>
      <c r="R347" t="str">
        <f>"КАЗАХСТАН, АКМОЛИНСКАЯ, СТЕПНОГОРСК, -, 50, 105"</f>
        <v>КАЗАХСТАН, АКМОЛИНСКАЯ, СТЕПНОГОРСК, -, 50, 105</v>
      </c>
      <c r="S347" t="str">
        <f>"ҚАЗАҚСТАН, АҚМОЛА, СТЕПНОГОР, -, 50, 105"</f>
        <v>ҚАЗАҚСТАН, АҚМОЛА, СТЕПНОГОР, -, 50, 105</v>
      </c>
      <c r="T347" t="str">
        <f>"-, 50, 105"</f>
        <v>-, 50, 105</v>
      </c>
      <c r="U347" t="str">
        <f>"-, 50, 105"</f>
        <v>-, 50, 105</v>
      </c>
      <c r="AC347" t="str">
        <f>"2019-08-15T00:00:00"</f>
        <v>2019-08-15T00:00:00</v>
      </c>
      <c r="AD347" t="str">
        <f>"138"</f>
        <v>138</v>
      </c>
      <c r="AE347" t="str">
        <f>"2023-09-01T17:53:57"</f>
        <v>2023-09-01T17:53:57</v>
      </c>
      <c r="AF347" t="str">
        <f>"2024-05-25T17:53:57"</f>
        <v>2024-05-25T17:53:57</v>
      </c>
      <c r="AG347" t="s">
        <v>202</v>
      </c>
      <c r="AI347" t="s">
        <v>299</v>
      </c>
      <c r="AJ347" t="s">
        <v>419</v>
      </c>
      <c r="AK347" t="s">
        <v>253</v>
      </c>
      <c r="AL347" t="s">
        <v>206</v>
      </c>
      <c r="AN347" t="s">
        <v>254</v>
      </c>
      <c r="AO347">
        <v>1</v>
      </c>
      <c r="AP347" t="s">
        <v>208</v>
      </c>
      <c r="AQ347" t="s">
        <v>209</v>
      </c>
      <c r="AR347" t="s">
        <v>210</v>
      </c>
      <c r="AW347" t="s">
        <v>206</v>
      </c>
      <c r="AX347" t="s">
        <v>211</v>
      </c>
      <c r="AZ347" t="s">
        <v>209</v>
      </c>
      <c r="BI347" t="s">
        <v>212</v>
      </c>
      <c r="BJ347" t="s">
        <v>213</v>
      </c>
      <c r="BK347" t="s">
        <v>214</v>
      </c>
      <c r="BL347" t="s">
        <v>215</v>
      </c>
      <c r="BN347" t="s">
        <v>216</v>
      </c>
      <c r="BO347" t="s">
        <v>209</v>
      </c>
      <c r="BP347" t="s">
        <v>241</v>
      </c>
      <c r="BQ347">
        <v>4</v>
      </c>
      <c r="BS347" t="s">
        <v>219</v>
      </c>
      <c r="BT347" t="s">
        <v>220</v>
      </c>
      <c r="BU347" t="s">
        <v>206</v>
      </c>
      <c r="BX347" t="s">
        <v>221</v>
      </c>
      <c r="BY347" t="s">
        <v>221</v>
      </c>
      <c r="CA347" t="s">
        <v>287</v>
      </c>
      <c r="CC347" t="s">
        <v>301</v>
      </c>
      <c r="CD347" t="s">
        <v>349</v>
      </c>
      <c r="CE347" t="s">
        <v>242</v>
      </c>
      <c r="CJ347" t="s">
        <v>206</v>
      </c>
      <c r="CK347" t="s">
        <v>230</v>
      </c>
      <c r="CL347" t="s">
        <v>231</v>
      </c>
      <c r="CM347" t="s">
        <v>232</v>
      </c>
      <c r="CN347" t="s">
        <v>233</v>
      </c>
      <c r="CP347" t="s">
        <v>212</v>
      </c>
      <c r="CQ347" t="s">
        <v>212</v>
      </c>
      <c r="CR347" t="s">
        <v>212</v>
      </c>
      <c r="CS347" t="s">
        <v>212</v>
      </c>
      <c r="CY347" t="s">
        <v>212</v>
      </c>
      <c r="DB347" t="s">
        <v>234</v>
      </c>
      <c r="DE347" t="s">
        <v>212</v>
      </c>
      <c r="DF347" t="s">
        <v>212</v>
      </c>
      <c r="DG347" t="s">
        <v>235</v>
      </c>
      <c r="DH347" t="s">
        <v>212</v>
      </c>
      <c r="DJ347" t="s">
        <v>236</v>
      </c>
      <c r="DM347" t="s">
        <v>212</v>
      </c>
    </row>
    <row r="348" spans="1:117" x14ac:dyDescent="0.3">
      <c r="A348">
        <v>13263420</v>
      </c>
      <c r="B348">
        <v>838835</v>
      </c>
      <c r="C348" t="str">
        <f>"121005500245"</f>
        <v>121005500245</v>
      </c>
      <c r="D348" t="s">
        <v>1193</v>
      </c>
      <c r="E348" t="s">
        <v>1051</v>
      </c>
      <c r="F348" t="s">
        <v>1194</v>
      </c>
      <c r="G348" s="1">
        <v>41187</v>
      </c>
      <c r="I348" t="s">
        <v>240</v>
      </c>
      <c r="J348" t="s">
        <v>200</v>
      </c>
      <c r="K348" t="s">
        <v>201</v>
      </c>
      <c r="Q348" t="s">
        <v>212</v>
      </c>
      <c r="R348" t="str">
        <f>"КАЗАХСТАН, АКМОЛИНСКАЯ, СТЕПНОГОРСК, 15, 81"</f>
        <v>КАЗАХСТАН, АКМОЛИНСКАЯ, СТЕПНОГОРСК, 15, 81</v>
      </c>
      <c r="S348" t="str">
        <f>"ҚАЗАҚСТАН, АҚМОЛА, СТЕПНОГОР, 15, 81"</f>
        <v>ҚАЗАҚСТАН, АҚМОЛА, СТЕПНОГОР, 15, 81</v>
      </c>
      <c r="T348" t="str">
        <f>"15, 81"</f>
        <v>15, 81</v>
      </c>
      <c r="U348" t="str">
        <f>"15, 81"</f>
        <v>15, 81</v>
      </c>
      <c r="AC348" t="str">
        <f>"2019-06-21T00:00:00"</f>
        <v>2019-06-21T00:00:00</v>
      </c>
      <c r="AD348" t="str">
        <f>"96"</f>
        <v>96</v>
      </c>
      <c r="AE348" t="str">
        <f>"2023-09-01T17:54:30"</f>
        <v>2023-09-01T17:54:30</v>
      </c>
      <c r="AF348" t="str">
        <f>"2024-05-25T17:54:30"</f>
        <v>2024-05-25T17:54:30</v>
      </c>
      <c r="AG348" t="s">
        <v>202</v>
      </c>
      <c r="AI348" t="s">
        <v>299</v>
      </c>
      <c r="AJ348" t="s">
        <v>419</v>
      </c>
      <c r="AK348" t="s">
        <v>253</v>
      </c>
      <c r="AL348" t="s">
        <v>206</v>
      </c>
      <c r="AN348" t="s">
        <v>254</v>
      </c>
      <c r="AO348">
        <v>1</v>
      </c>
      <c r="AP348" t="s">
        <v>208</v>
      </c>
      <c r="AQ348" t="s">
        <v>209</v>
      </c>
      <c r="AR348" t="s">
        <v>210</v>
      </c>
      <c r="AW348" t="s">
        <v>206</v>
      </c>
      <c r="AX348" t="s">
        <v>211</v>
      </c>
      <c r="AZ348" t="s">
        <v>209</v>
      </c>
      <c r="BI348" t="s">
        <v>212</v>
      </c>
      <c r="BJ348" t="s">
        <v>213</v>
      </c>
      <c r="BK348" t="s">
        <v>214</v>
      </c>
      <c r="BL348" t="s">
        <v>215</v>
      </c>
      <c r="BN348" t="s">
        <v>216</v>
      </c>
      <c r="BO348" t="s">
        <v>209</v>
      </c>
      <c r="BP348" t="s">
        <v>415</v>
      </c>
      <c r="BQ348" t="s">
        <v>913</v>
      </c>
      <c r="BS348" t="s">
        <v>219</v>
      </c>
      <c r="BT348" t="s">
        <v>220</v>
      </c>
      <c r="BU348" t="s">
        <v>206</v>
      </c>
      <c r="BX348" t="s">
        <v>221</v>
      </c>
      <c r="BY348" t="s">
        <v>221</v>
      </c>
      <c r="CA348" t="s">
        <v>249</v>
      </c>
      <c r="CB348" t="s">
        <v>223</v>
      </c>
      <c r="CC348" t="s">
        <v>222</v>
      </c>
      <c r="CD348" t="s">
        <v>223</v>
      </c>
      <c r="CE348" t="s">
        <v>242</v>
      </c>
      <c r="CJ348" t="s">
        <v>206</v>
      </c>
      <c r="CK348" t="s">
        <v>230</v>
      </c>
      <c r="CL348" t="s">
        <v>231</v>
      </c>
      <c r="CM348" t="s">
        <v>232</v>
      </c>
      <c r="CN348" t="s">
        <v>233</v>
      </c>
      <c r="CP348" t="s">
        <v>212</v>
      </c>
      <c r="CQ348" t="s">
        <v>212</v>
      </c>
      <c r="CR348" t="s">
        <v>212</v>
      </c>
      <c r="CS348" t="s">
        <v>212</v>
      </c>
      <c r="CY348" t="s">
        <v>212</v>
      </c>
      <c r="DB348" t="s">
        <v>234</v>
      </c>
      <c r="DE348" t="s">
        <v>212</v>
      </c>
      <c r="DF348" t="s">
        <v>212</v>
      </c>
      <c r="DG348" t="s">
        <v>235</v>
      </c>
      <c r="DH348" t="s">
        <v>212</v>
      </c>
      <c r="DJ348" t="s">
        <v>236</v>
      </c>
      <c r="DM348" t="s">
        <v>212</v>
      </c>
    </row>
    <row r="349" spans="1:117" x14ac:dyDescent="0.3">
      <c r="A349">
        <v>25513603</v>
      </c>
      <c r="B349">
        <v>316541</v>
      </c>
      <c r="C349" t="str">
        <f>"070711000108"</f>
        <v>070711000108</v>
      </c>
      <c r="D349" t="s">
        <v>1195</v>
      </c>
      <c r="E349" t="s">
        <v>1196</v>
      </c>
      <c r="F349" t="s">
        <v>1197</v>
      </c>
      <c r="G349" s="1">
        <v>39274</v>
      </c>
      <c r="I349" t="s">
        <v>240</v>
      </c>
      <c r="J349" t="s">
        <v>200</v>
      </c>
      <c r="K349" t="s">
        <v>201</v>
      </c>
      <c r="L349" t="s">
        <v>212</v>
      </c>
      <c r="Q349" t="s">
        <v>212</v>
      </c>
      <c r="R349" t="str">
        <f>"КАЗАХСТАН, АКМОЛИНСКАЯ, СТЕПНОГОРСК, 18, 411"</f>
        <v>КАЗАХСТАН, АКМОЛИНСКАЯ, СТЕПНОГОРСК, 18, 411</v>
      </c>
      <c r="S349" t="str">
        <f>"ҚАЗАҚСТАН, АҚМОЛА, СТЕПНОГОР, 18, 411"</f>
        <v>ҚАЗАҚСТАН, АҚМОЛА, СТЕПНОГОР, 18, 411</v>
      </c>
      <c r="T349" t="str">
        <f>"18, 411"</f>
        <v>18, 411</v>
      </c>
      <c r="U349" t="str">
        <f>"18, 411"</f>
        <v>18, 411</v>
      </c>
      <c r="AC349" t="str">
        <f>"2023-08-25T00:00:00"</f>
        <v>2023-08-25T00:00:00</v>
      </c>
      <c r="AD349" t="str">
        <f>"200"</f>
        <v>200</v>
      </c>
      <c r="AG349" t="s">
        <v>202</v>
      </c>
      <c r="AH349" t="str">
        <f>"a22792560@gmail.com"</f>
        <v>a22792560@gmail.com</v>
      </c>
      <c r="AI349" t="s">
        <v>203</v>
      </c>
      <c r="AJ349" t="s">
        <v>1157</v>
      </c>
      <c r="AK349" t="s">
        <v>205</v>
      </c>
      <c r="AL349" t="s">
        <v>206</v>
      </c>
      <c r="AN349" t="s">
        <v>207</v>
      </c>
      <c r="AO349">
        <v>1</v>
      </c>
      <c r="AP349" t="s">
        <v>208</v>
      </c>
      <c r="AQ349" t="s">
        <v>209</v>
      </c>
      <c r="AR349" t="s">
        <v>210</v>
      </c>
      <c r="AW349" t="s">
        <v>206</v>
      </c>
      <c r="AX349" t="s">
        <v>211</v>
      </c>
      <c r="AZ349" t="s">
        <v>209</v>
      </c>
      <c r="BI349" t="s">
        <v>212</v>
      </c>
      <c r="BJ349" t="s">
        <v>213</v>
      </c>
      <c r="BK349" t="s">
        <v>214</v>
      </c>
      <c r="BL349" t="s">
        <v>215</v>
      </c>
      <c r="BN349" t="s">
        <v>281</v>
      </c>
      <c r="BO349" t="s">
        <v>209</v>
      </c>
      <c r="BP349" t="s">
        <v>217</v>
      </c>
      <c r="BQ349" t="s">
        <v>378</v>
      </c>
      <c r="BS349" t="s">
        <v>219</v>
      </c>
      <c r="BT349" t="s">
        <v>220</v>
      </c>
      <c r="BU349" t="s">
        <v>206</v>
      </c>
      <c r="BX349" t="s">
        <v>221</v>
      </c>
      <c r="BY349" t="s">
        <v>221</v>
      </c>
      <c r="CA349" t="s">
        <v>287</v>
      </c>
      <c r="CC349" t="s">
        <v>209</v>
      </c>
      <c r="CE349" t="s">
        <v>242</v>
      </c>
      <c r="CJ349" t="s">
        <v>206</v>
      </c>
      <c r="CK349" t="s">
        <v>291</v>
      </c>
      <c r="CM349" t="s">
        <v>292</v>
      </c>
      <c r="CN349" t="s">
        <v>233</v>
      </c>
      <c r="CP349" t="s">
        <v>212</v>
      </c>
      <c r="CQ349" t="s">
        <v>212</v>
      </c>
      <c r="CR349" t="s">
        <v>212</v>
      </c>
      <c r="CS349" t="s">
        <v>212</v>
      </c>
      <c r="CY349" t="s">
        <v>212</v>
      </c>
      <c r="DB349" t="s">
        <v>234</v>
      </c>
      <c r="DE349" t="s">
        <v>212</v>
      </c>
      <c r="DF349" t="s">
        <v>212</v>
      </c>
      <c r="DG349" t="s">
        <v>235</v>
      </c>
      <c r="DH349" t="s">
        <v>212</v>
      </c>
      <c r="DJ349" t="s">
        <v>236</v>
      </c>
      <c r="DM349" t="s">
        <v>212</v>
      </c>
    </row>
    <row r="350" spans="1:117" x14ac:dyDescent="0.3">
      <c r="A350">
        <v>25513604</v>
      </c>
      <c r="B350">
        <v>310902</v>
      </c>
      <c r="C350" t="str">
        <f>"070313650901"</f>
        <v>070313650901</v>
      </c>
      <c r="D350" t="s">
        <v>1198</v>
      </c>
      <c r="E350" t="s">
        <v>516</v>
      </c>
      <c r="F350" t="s">
        <v>805</v>
      </c>
      <c r="G350" s="1">
        <v>39154</v>
      </c>
      <c r="I350" t="s">
        <v>199</v>
      </c>
      <c r="J350" t="s">
        <v>200</v>
      </c>
      <c r="K350" t="s">
        <v>260</v>
      </c>
      <c r="Q350" t="s">
        <v>212</v>
      </c>
      <c r="R350" t="str">
        <f>"КАЗАХСТАН, АКМОЛИНСКАЯ, СТЕПНОГОРСК, 23, 85"</f>
        <v>КАЗАХСТАН, АКМОЛИНСКАЯ, СТЕПНОГОРСК, 23, 85</v>
      </c>
      <c r="S350" t="str">
        <f>"ҚАЗАҚСТАН, АҚМОЛА, СТЕПНОГОР, 23, 85"</f>
        <v>ҚАЗАҚСТАН, АҚМОЛА, СТЕПНОГОР, 23, 85</v>
      </c>
      <c r="T350" t="str">
        <f>"23, 85"</f>
        <v>23, 85</v>
      </c>
      <c r="U350" t="str">
        <f>"23, 85"</f>
        <v>23, 85</v>
      </c>
      <c r="AC350" t="str">
        <f>"2023-08-25T00:00:00"</f>
        <v>2023-08-25T00:00:00</v>
      </c>
      <c r="AD350" t="str">
        <f>"200"</f>
        <v>200</v>
      </c>
      <c r="AE350" t="str">
        <f>"2023-09-01T08:31:32"</f>
        <v>2023-09-01T08:31:32</v>
      </c>
      <c r="AF350" t="str">
        <f>"2024-05-25T08:31:32"</f>
        <v>2024-05-25T08:31:32</v>
      </c>
      <c r="AG350" t="s">
        <v>202</v>
      </c>
      <c r="AH350" t="str">
        <f>"ckool007@mail.ru"</f>
        <v>ckool007@mail.ru</v>
      </c>
      <c r="AI350" t="s">
        <v>203</v>
      </c>
      <c r="AJ350" t="s">
        <v>1157</v>
      </c>
      <c r="AK350" t="s">
        <v>205</v>
      </c>
      <c r="AL350" t="s">
        <v>206</v>
      </c>
      <c r="AN350" t="s">
        <v>207</v>
      </c>
      <c r="AO350">
        <v>1</v>
      </c>
      <c r="AP350" t="s">
        <v>208</v>
      </c>
      <c r="AQ350" t="s">
        <v>209</v>
      </c>
      <c r="AR350" t="s">
        <v>210</v>
      </c>
      <c r="AW350" t="s">
        <v>206</v>
      </c>
      <c r="AX350" t="s">
        <v>211</v>
      </c>
      <c r="AZ350" t="s">
        <v>209</v>
      </c>
      <c r="BI350" t="s">
        <v>212</v>
      </c>
      <c r="BJ350" t="s">
        <v>213</v>
      </c>
      <c r="BK350" t="s">
        <v>214</v>
      </c>
      <c r="BL350" t="s">
        <v>215</v>
      </c>
      <c r="BN350" t="s">
        <v>216</v>
      </c>
      <c r="BO350" t="s">
        <v>209</v>
      </c>
      <c r="BP350" t="s">
        <v>241</v>
      </c>
      <c r="BQ350">
        <v>4</v>
      </c>
      <c r="BS350" t="s">
        <v>219</v>
      </c>
      <c r="BT350" t="s">
        <v>220</v>
      </c>
      <c r="BU350" t="s">
        <v>206</v>
      </c>
      <c r="BX350" t="s">
        <v>221</v>
      </c>
      <c r="BY350" t="s">
        <v>221</v>
      </c>
      <c r="CA350" t="s">
        <v>222</v>
      </c>
      <c r="CB350" t="s">
        <v>223</v>
      </c>
      <c r="CC350" t="s">
        <v>209</v>
      </c>
      <c r="CE350" t="s">
        <v>242</v>
      </c>
      <c r="CJ350" t="s">
        <v>206</v>
      </c>
      <c r="CK350" t="s">
        <v>291</v>
      </c>
      <c r="CM350" t="s">
        <v>292</v>
      </c>
      <c r="CN350" t="s">
        <v>233</v>
      </c>
      <c r="CP350" t="s">
        <v>212</v>
      </c>
      <c r="CQ350" t="s">
        <v>212</v>
      </c>
      <c r="CR350" t="s">
        <v>212</v>
      </c>
      <c r="CS350" t="s">
        <v>212</v>
      </c>
      <c r="CY350" t="s">
        <v>212</v>
      </c>
      <c r="DB350" t="s">
        <v>234</v>
      </c>
      <c r="DE350" t="s">
        <v>212</v>
      </c>
      <c r="DF350" t="s">
        <v>212</v>
      </c>
      <c r="DG350" t="s">
        <v>235</v>
      </c>
      <c r="DH350" t="s">
        <v>212</v>
      </c>
      <c r="DJ350" t="s">
        <v>236</v>
      </c>
      <c r="DM350" t="s">
        <v>212</v>
      </c>
    </row>
    <row r="351" spans="1:117" x14ac:dyDescent="0.3">
      <c r="A351">
        <v>13255805</v>
      </c>
      <c r="B351">
        <v>8941494</v>
      </c>
      <c r="C351" t="str">
        <f>"131124502984"</f>
        <v>131124502984</v>
      </c>
      <c r="D351" t="s">
        <v>1199</v>
      </c>
      <c r="E351" t="s">
        <v>1200</v>
      </c>
      <c r="G351" s="1">
        <v>41602</v>
      </c>
      <c r="I351" t="s">
        <v>240</v>
      </c>
      <c r="J351" t="s">
        <v>200</v>
      </c>
      <c r="K351" t="s">
        <v>201</v>
      </c>
      <c r="R351" t="str">
        <f>"КАЗАХСТАН, АКМОЛИНСКАЯ, СТЕПНОГОРСК, 52, 613"</f>
        <v>КАЗАХСТАН, АКМОЛИНСКАЯ, СТЕПНОГОРСК, 52, 613</v>
      </c>
      <c r="S351" t="str">
        <f>"ҚАЗАҚСТАН, АҚМОЛА, СТЕПНОГОР, 52, 613"</f>
        <v>ҚАЗАҚСТАН, АҚМОЛА, СТЕПНОГОР, 52, 613</v>
      </c>
      <c r="T351" t="str">
        <f>"52, 613"</f>
        <v>52, 613</v>
      </c>
      <c r="U351" t="str">
        <f>"52, 613"</f>
        <v>52, 613</v>
      </c>
      <c r="AC351" t="str">
        <f>"2019-09-02T00:00:00"</f>
        <v>2019-09-02T00:00:00</v>
      </c>
      <c r="AD351" t="str">
        <f t="shared" ref="AD351:AD356" si="12">"1"</f>
        <v>1</v>
      </c>
      <c r="AG351" t="s">
        <v>202</v>
      </c>
      <c r="AI351" t="s">
        <v>274</v>
      </c>
      <c r="AJ351" t="s">
        <v>501</v>
      </c>
      <c r="AK351" t="s">
        <v>253</v>
      </c>
      <c r="AL351" t="s">
        <v>206</v>
      </c>
      <c r="AN351" t="s">
        <v>254</v>
      </c>
      <c r="AO351">
        <v>1</v>
      </c>
      <c r="AP351" t="s">
        <v>208</v>
      </c>
      <c r="AQ351" t="s">
        <v>209</v>
      </c>
      <c r="AR351" t="s">
        <v>502</v>
      </c>
      <c r="AW351" t="s">
        <v>212</v>
      </c>
      <c r="AZ351" t="s">
        <v>209</v>
      </c>
      <c r="BI351" t="s">
        <v>212</v>
      </c>
      <c r="BJ351" t="s">
        <v>213</v>
      </c>
      <c r="BK351" t="s">
        <v>214</v>
      </c>
      <c r="BL351" t="s">
        <v>357</v>
      </c>
      <c r="BN351" t="s">
        <v>247</v>
      </c>
      <c r="BO351" t="s">
        <v>209</v>
      </c>
      <c r="BP351" t="s">
        <v>241</v>
      </c>
      <c r="BQ351">
        <v>3</v>
      </c>
      <c r="BS351" t="s">
        <v>219</v>
      </c>
      <c r="BT351" t="s">
        <v>220</v>
      </c>
      <c r="BU351" t="s">
        <v>206</v>
      </c>
      <c r="BX351" t="s">
        <v>221</v>
      </c>
      <c r="BY351" t="s">
        <v>221</v>
      </c>
      <c r="BZ351" t="s">
        <v>503</v>
      </c>
      <c r="CA351" t="s">
        <v>287</v>
      </c>
      <c r="CC351" t="s">
        <v>222</v>
      </c>
      <c r="CD351" t="s">
        <v>223</v>
      </c>
      <c r="CE351" t="s">
        <v>242</v>
      </c>
      <c r="CJ351" t="s">
        <v>206</v>
      </c>
      <c r="CK351" t="s">
        <v>230</v>
      </c>
      <c r="CL351" t="s">
        <v>231</v>
      </c>
      <c r="CM351" t="s">
        <v>232</v>
      </c>
      <c r="CN351" t="s">
        <v>233</v>
      </c>
      <c r="CP351" t="s">
        <v>212</v>
      </c>
      <c r="CQ351" t="s">
        <v>212</v>
      </c>
      <c r="CR351" t="s">
        <v>212</v>
      </c>
      <c r="CS351" t="s">
        <v>212</v>
      </c>
      <c r="CY351" t="s">
        <v>212</v>
      </c>
      <c r="DB351" t="s">
        <v>234</v>
      </c>
      <c r="DE351" t="s">
        <v>212</v>
      </c>
      <c r="DF351" t="s">
        <v>212</v>
      </c>
      <c r="DG351" t="s">
        <v>235</v>
      </c>
      <c r="DH351" t="s">
        <v>212</v>
      </c>
      <c r="DJ351" t="s">
        <v>236</v>
      </c>
      <c r="DM351" t="s">
        <v>212</v>
      </c>
    </row>
    <row r="352" spans="1:117" x14ac:dyDescent="0.3">
      <c r="A352">
        <v>13255674</v>
      </c>
      <c r="B352">
        <v>840070</v>
      </c>
      <c r="C352" t="str">
        <f>"140515501217"</f>
        <v>140515501217</v>
      </c>
      <c r="D352" t="s">
        <v>448</v>
      </c>
      <c r="E352" t="s">
        <v>1201</v>
      </c>
      <c r="F352" t="s">
        <v>1202</v>
      </c>
      <c r="G352" s="1">
        <v>41774</v>
      </c>
      <c r="I352" t="s">
        <v>240</v>
      </c>
      <c r="J352" t="s">
        <v>200</v>
      </c>
      <c r="K352" t="s">
        <v>201</v>
      </c>
      <c r="R352" t="str">
        <f>"КАЗАХСТАН, АКМОЛИНСКАЯ, СТЕПНОГОРСК, 34, 46"</f>
        <v>КАЗАХСТАН, АКМОЛИНСКАЯ, СТЕПНОГОРСК, 34, 46</v>
      </c>
      <c r="S352" t="str">
        <f>"ҚАЗАҚСТАН, АҚМОЛА, СТЕПНОГОР, 34, 46"</f>
        <v>ҚАЗАҚСТАН, АҚМОЛА, СТЕПНОГОР, 34, 46</v>
      </c>
      <c r="T352" t="str">
        <f>"34, 46"</f>
        <v>34, 46</v>
      </c>
      <c r="U352" t="str">
        <f>"34, 46"</f>
        <v>34, 46</v>
      </c>
      <c r="AC352" t="str">
        <f>"2019-09-02T00:00:00"</f>
        <v>2019-09-02T00:00:00</v>
      </c>
      <c r="AD352" t="str">
        <f t="shared" si="12"/>
        <v>1</v>
      </c>
      <c r="AG352" t="s">
        <v>202</v>
      </c>
      <c r="AI352" t="s">
        <v>274</v>
      </c>
      <c r="AJ352" t="s">
        <v>501</v>
      </c>
      <c r="AK352" t="s">
        <v>253</v>
      </c>
      <c r="AL352" t="s">
        <v>206</v>
      </c>
      <c r="AN352" t="s">
        <v>254</v>
      </c>
      <c r="AO352">
        <v>1</v>
      </c>
      <c r="AP352" t="s">
        <v>208</v>
      </c>
      <c r="AQ352" t="s">
        <v>209</v>
      </c>
      <c r="AR352" t="s">
        <v>502</v>
      </c>
      <c r="AW352" t="s">
        <v>212</v>
      </c>
      <c r="AZ352" t="s">
        <v>209</v>
      </c>
      <c r="BI352" t="s">
        <v>212</v>
      </c>
      <c r="BJ352" t="s">
        <v>213</v>
      </c>
      <c r="BK352" t="s">
        <v>214</v>
      </c>
      <c r="BL352" t="s">
        <v>357</v>
      </c>
      <c r="BN352" t="s">
        <v>247</v>
      </c>
      <c r="BO352" t="s">
        <v>209</v>
      </c>
      <c r="BP352" t="s">
        <v>241</v>
      </c>
      <c r="BQ352">
        <v>3</v>
      </c>
      <c r="BS352" t="s">
        <v>219</v>
      </c>
      <c r="BT352" t="s">
        <v>220</v>
      </c>
      <c r="BU352" t="s">
        <v>206</v>
      </c>
      <c r="BX352" t="s">
        <v>221</v>
      </c>
      <c r="BY352" t="s">
        <v>221</v>
      </c>
      <c r="BZ352" t="s">
        <v>503</v>
      </c>
      <c r="CA352" t="s">
        <v>287</v>
      </c>
      <c r="CC352" t="s">
        <v>222</v>
      </c>
      <c r="CD352" t="s">
        <v>223</v>
      </c>
      <c r="CE352" t="s">
        <v>242</v>
      </c>
      <c r="CJ352" t="s">
        <v>206</v>
      </c>
      <c r="CK352" t="s">
        <v>230</v>
      </c>
      <c r="CL352" t="s">
        <v>231</v>
      </c>
      <c r="CM352" t="s">
        <v>232</v>
      </c>
      <c r="CN352" t="s">
        <v>233</v>
      </c>
      <c r="CP352" t="s">
        <v>212</v>
      </c>
      <c r="CQ352" t="s">
        <v>212</v>
      </c>
      <c r="CR352" t="s">
        <v>212</v>
      </c>
      <c r="CS352" t="s">
        <v>212</v>
      </c>
      <c r="CY352" t="s">
        <v>212</v>
      </c>
      <c r="DB352" t="s">
        <v>234</v>
      </c>
      <c r="DE352" t="s">
        <v>212</v>
      </c>
      <c r="DF352" t="s">
        <v>212</v>
      </c>
      <c r="DG352" t="s">
        <v>235</v>
      </c>
      <c r="DH352" t="s">
        <v>212</v>
      </c>
      <c r="DJ352" t="s">
        <v>236</v>
      </c>
      <c r="DM352" t="s">
        <v>212</v>
      </c>
    </row>
    <row r="353" spans="1:117" x14ac:dyDescent="0.3">
      <c r="A353">
        <v>13251211</v>
      </c>
      <c r="B353">
        <v>8939908</v>
      </c>
      <c r="C353" t="str">
        <f>"140102600705"</f>
        <v>140102600705</v>
      </c>
      <c r="D353" t="s">
        <v>1203</v>
      </c>
      <c r="E353" t="s">
        <v>1204</v>
      </c>
      <c r="F353" t="s">
        <v>1205</v>
      </c>
      <c r="G353" s="1">
        <v>41641</v>
      </c>
      <c r="I353" t="s">
        <v>199</v>
      </c>
      <c r="J353" t="s">
        <v>200</v>
      </c>
      <c r="K353" t="s">
        <v>201</v>
      </c>
      <c r="R353" t="str">
        <f>"КАЗАХСТАН, АКМОЛИНСКАЯ, СТЕПНОГОРСК, -, 70, 16"</f>
        <v>КАЗАХСТАН, АКМОЛИНСКАЯ, СТЕПНОГОРСК, -, 70, 16</v>
      </c>
      <c r="S353" t="str">
        <f>"ҚАЗАҚСТАН, АҚМОЛА, СТЕПНОГОР, -, 70, 16"</f>
        <v>ҚАЗАҚСТАН, АҚМОЛА, СТЕПНОГОР, -, 70, 16</v>
      </c>
      <c r="T353" t="str">
        <f>"-, 70, 16"</f>
        <v>-, 70, 16</v>
      </c>
      <c r="U353" t="str">
        <f>"-, 70, 16"</f>
        <v>-, 70, 16</v>
      </c>
      <c r="AC353" t="str">
        <f>"2019-09-02T00:00:00"</f>
        <v>2019-09-02T00:00:00</v>
      </c>
      <c r="AD353" t="str">
        <f t="shared" si="12"/>
        <v>1</v>
      </c>
      <c r="AG353" t="s">
        <v>202</v>
      </c>
      <c r="AI353" t="s">
        <v>274</v>
      </c>
      <c r="AJ353" t="s">
        <v>501</v>
      </c>
      <c r="AK353" t="s">
        <v>253</v>
      </c>
      <c r="AL353" t="s">
        <v>206</v>
      </c>
      <c r="AN353" t="s">
        <v>254</v>
      </c>
      <c r="AO353">
        <v>1</v>
      </c>
      <c r="AP353" t="s">
        <v>208</v>
      </c>
      <c r="AQ353" t="s">
        <v>209</v>
      </c>
      <c r="AR353" t="s">
        <v>502</v>
      </c>
      <c r="AW353" t="s">
        <v>212</v>
      </c>
      <c r="AZ353" t="s">
        <v>209</v>
      </c>
      <c r="BI353" t="s">
        <v>212</v>
      </c>
      <c r="BJ353" t="s">
        <v>213</v>
      </c>
      <c r="BK353" t="s">
        <v>214</v>
      </c>
      <c r="BL353" t="s">
        <v>357</v>
      </c>
      <c r="BN353" t="s">
        <v>216</v>
      </c>
      <c r="BO353" t="s">
        <v>209</v>
      </c>
      <c r="BP353" t="s">
        <v>241</v>
      </c>
      <c r="BQ353">
        <v>4</v>
      </c>
      <c r="BS353" t="s">
        <v>219</v>
      </c>
      <c r="BT353" t="s">
        <v>220</v>
      </c>
      <c r="BU353" t="s">
        <v>206</v>
      </c>
      <c r="BX353" t="s">
        <v>221</v>
      </c>
      <c r="BY353" t="s">
        <v>221</v>
      </c>
      <c r="BZ353" t="s">
        <v>503</v>
      </c>
      <c r="CA353" t="s">
        <v>287</v>
      </c>
      <c r="CC353" t="s">
        <v>222</v>
      </c>
      <c r="CD353" t="s">
        <v>223</v>
      </c>
      <c r="CE353" t="s">
        <v>242</v>
      </c>
      <c r="CJ353" t="s">
        <v>206</v>
      </c>
      <c r="CK353" t="s">
        <v>230</v>
      </c>
      <c r="CL353" t="s">
        <v>231</v>
      </c>
      <c r="CM353" t="s">
        <v>232</v>
      </c>
      <c r="CN353" t="s">
        <v>233</v>
      </c>
      <c r="CP353" t="s">
        <v>212</v>
      </c>
      <c r="CQ353" t="s">
        <v>212</v>
      </c>
      <c r="CR353" t="s">
        <v>212</v>
      </c>
      <c r="CS353" t="s">
        <v>212</v>
      </c>
      <c r="CY353" t="s">
        <v>212</v>
      </c>
      <c r="DB353" t="s">
        <v>234</v>
      </c>
      <c r="DE353" t="s">
        <v>212</v>
      </c>
      <c r="DF353" t="s">
        <v>212</v>
      </c>
      <c r="DG353" t="s">
        <v>235</v>
      </c>
      <c r="DH353" t="s">
        <v>212</v>
      </c>
      <c r="DJ353" t="s">
        <v>236</v>
      </c>
      <c r="DM353" t="s">
        <v>212</v>
      </c>
    </row>
    <row r="354" spans="1:117" x14ac:dyDescent="0.3">
      <c r="A354">
        <v>13250463</v>
      </c>
      <c r="B354">
        <v>8939661</v>
      </c>
      <c r="C354" t="str">
        <f>"140717504091"</f>
        <v>140717504091</v>
      </c>
      <c r="D354" t="s">
        <v>1206</v>
      </c>
      <c r="E354" t="s">
        <v>1207</v>
      </c>
      <c r="F354" t="s">
        <v>1208</v>
      </c>
      <c r="G354" s="1">
        <v>41837</v>
      </c>
      <c r="I354" t="s">
        <v>240</v>
      </c>
      <c r="J354" t="s">
        <v>200</v>
      </c>
      <c r="K354" t="s">
        <v>201</v>
      </c>
      <c r="Q354" t="s">
        <v>212</v>
      </c>
      <c r="R354" t="str">
        <f>"КАЗАХСТАН, АКМОЛИНСКАЯ, СТЕПНОГОРСК, 10, 105"</f>
        <v>КАЗАХСТАН, АКМОЛИНСКАЯ, СТЕПНОГОРСК, 10, 105</v>
      </c>
      <c r="S354" t="str">
        <f>"ҚАЗАҚСТАН, АҚМОЛА, СТЕПНОГОР, 10, 105"</f>
        <v>ҚАЗАҚСТАН, АҚМОЛА, СТЕПНОГОР, 10, 105</v>
      </c>
      <c r="T354" t="str">
        <f>"10, 105"</f>
        <v>10, 105</v>
      </c>
      <c r="U354" t="str">
        <f>"10, 105"</f>
        <v>10, 105</v>
      </c>
      <c r="AC354" t="str">
        <f>"2019-09-02T00:00:00"</f>
        <v>2019-09-02T00:00:00</v>
      </c>
      <c r="AD354" t="str">
        <f t="shared" si="12"/>
        <v>1</v>
      </c>
      <c r="AE354" t="str">
        <f>"2023-09-01T08:44:51"</f>
        <v>2023-09-01T08:44:51</v>
      </c>
      <c r="AF354" t="str">
        <f>"2024-05-25T08:44:51"</f>
        <v>2024-05-25T08:44:51</v>
      </c>
      <c r="AG354" t="s">
        <v>202</v>
      </c>
      <c r="AI354" t="s">
        <v>274</v>
      </c>
      <c r="AJ354" t="s">
        <v>501</v>
      </c>
      <c r="AK354" t="s">
        <v>253</v>
      </c>
      <c r="AL354" t="s">
        <v>206</v>
      </c>
      <c r="AN354" t="s">
        <v>254</v>
      </c>
      <c r="AO354">
        <v>1</v>
      </c>
      <c r="AP354" t="s">
        <v>208</v>
      </c>
      <c r="AQ354" t="s">
        <v>209</v>
      </c>
      <c r="AR354" t="s">
        <v>502</v>
      </c>
      <c r="AW354" t="s">
        <v>212</v>
      </c>
      <c r="AZ354" t="s">
        <v>209</v>
      </c>
      <c r="BI354" t="s">
        <v>212</v>
      </c>
      <c r="BJ354" t="s">
        <v>213</v>
      </c>
      <c r="BK354" t="s">
        <v>214</v>
      </c>
      <c r="BL354" t="s">
        <v>357</v>
      </c>
      <c r="BN354" t="s">
        <v>247</v>
      </c>
      <c r="BO354" t="s">
        <v>209</v>
      </c>
      <c r="BP354" t="s">
        <v>241</v>
      </c>
      <c r="BQ354">
        <v>3</v>
      </c>
      <c r="BS354" t="s">
        <v>219</v>
      </c>
      <c r="BT354" t="s">
        <v>220</v>
      </c>
      <c r="BU354" t="s">
        <v>206</v>
      </c>
      <c r="BX354" t="s">
        <v>221</v>
      </c>
      <c r="BY354" t="s">
        <v>221</v>
      </c>
      <c r="BZ354" t="s">
        <v>503</v>
      </c>
      <c r="CA354" t="s">
        <v>287</v>
      </c>
      <c r="CC354" t="s">
        <v>222</v>
      </c>
      <c r="CD354" t="s">
        <v>223</v>
      </c>
      <c r="CE354" t="s">
        <v>242</v>
      </c>
      <c r="CJ354" t="s">
        <v>206</v>
      </c>
      <c r="CK354" t="s">
        <v>230</v>
      </c>
      <c r="CL354" t="s">
        <v>231</v>
      </c>
      <c r="CM354" t="s">
        <v>232</v>
      </c>
      <c r="CN354" t="s">
        <v>233</v>
      </c>
      <c r="CP354" t="s">
        <v>212</v>
      </c>
      <c r="CQ354" t="s">
        <v>212</v>
      </c>
      <c r="CR354" t="s">
        <v>212</v>
      </c>
      <c r="CS354" t="s">
        <v>212</v>
      </c>
      <c r="CY354" t="s">
        <v>212</v>
      </c>
      <c r="DB354" t="s">
        <v>234</v>
      </c>
      <c r="DE354" t="s">
        <v>212</v>
      </c>
      <c r="DF354" t="s">
        <v>212</v>
      </c>
      <c r="DG354" t="s">
        <v>235</v>
      </c>
      <c r="DH354" t="s">
        <v>212</v>
      </c>
      <c r="DJ354" t="s">
        <v>236</v>
      </c>
      <c r="DM354" t="s">
        <v>206</v>
      </c>
    </row>
    <row r="355" spans="1:117" x14ac:dyDescent="0.3">
      <c r="A355">
        <v>13232196</v>
      </c>
      <c r="B355">
        <v>537557</v>
      </c>
      <c r="C355" t="str">
        <f>"140130603663"</f>
        <v>140130603663</v>
      </c>
      <c r="D355" t="s">
        <v>1209</v>
      </c>
      <c r="E355" t="s">
        <v>1210</v>
      </c>
      <c r="F355" t="s">
        <v>1211</v>
      </c>
      <c r="G355" s="1">
        <v>41669</v>
      </c>
      <c r="I355" t="s">
        <v>199</v>
      </c>
      <c r="J355" t="s">
        <v>200</v>
      </c>
      <c r="K355" t="s">
        <v>201</v>
      </c>
      <c r="R355" t="str">
        <f>"КАЗАХСТАН, АКМОЛИНСКАЯ, БУЛАНДЫНСКИЙ РАЙОН, Макинск, 48, 3"</f>
        <v>КАЗАХСТАН, АКМОЛИНСКАЯ, БУЛАНДЫНСКИЙ РАЙОН, Макинск, 48, 3</v>
      </c>
      <c r="S355" t="str">
        <f>"ҚАЗАҚСТАН, АҚМОЛА, БҰЛАНДЫ АУДАНЫ, Макинск, 48, 3"</f>
        <v>ҚАЗАҚСТАН, АҚМОЛА, БҰЛАНДЫ АУДАНЫ, Макинск, 48, 3</v>
      </c>
      <c r="T355" t="str">
        <f>"Макинск, 48, 3"</f>
        <v>Макинск, 48, 3</v>
      </c>
      <c r="U355" t="str">
        <f>"Макинск, 48, 3"</f>
        <v>Макинск, 48, 3</v>
      </c>
      <c r="AC355" t="str">
        <f>"2019-09-01T00:00:00"</f>
        <v>2019-09-01T00:00:00</v>
      </c>
      <c r="AD355" t="str">
        <f t="shared" si="12"/>
        <v>1</v>
      </c>
      <c r="AG355" t="s">
        <v>202</v>
      </c>
      <c r="AI355" t="s">
        <v>274</v>
      </c>
      <c r="AJ355" t="s">
        <v>501</v>
      </c>
      <c r="AK355" t="s">
        <v>253</v>
      </c>
      <c r="AL355" t="s">
        <v>206</v>
      </c>
      <c r="AN355" t="s">
        <v>254</v>
      </c>
      <c r="AO355">
        <v>1</v>
      </c>
      <c r="AP355" t="s">
        <v>208</v>
      </c>
      <c r="AQ355" t="s">
        <v>209</v>
      </c>
      <c r="AR355" t="s">
        <v>502</v>
      </c>
      <c r="AW355" t="s">
        <v>212</v>
      </c>
      <c r="AZ355" t="s">
        <v>209</v>
      </c>
      <c r="BI355" t="s">
        <v>212</v>
      </c>
      <c r="BJ355" t="s">
        <v>213</v>
      </c>
      <c r="BK355" t="s">
        <v>214</v>
      </c>
      <c r="BL355" t="s">
        <v>357</v>
      </c>
      <c r="BN355" t="s">
        <v>247</v>
      </c>
      <c r="BO355" t="s">
        <v>209</v>
      </c>
      <c r="BP355" t="s">
        <v>241</v>
      </c>
      <c r="BQ355">
        <v>3</v>
      </c>
      <c r="BS355" t="s">
        <v>219</v>
      </c>
      <c r="BT355" t="s">
        <v>220</v>
      </c>
      <c r="BU355" t="s">
        <v>206</v>
      </c>
      <c r="BX355" t="s">
        <v>221</v>
      </c>
      <c r="BY355" t="s">
        <v>221</v>
      </c>
      <c r="BZ355" t="s">
        <v>503</v>
      </c>
      <c r="CA355" t="s">
        <v>287</v>
      </c>
      <c r="CC355" t="s">
        <v>222</v>
      </c>
      <c r="CD355" t="s">
        <v>223</v>
      </c>
      <c r="CE355" t="s">
        <v>242</v>
      </c>
      <c r="CJ355" t="s">
        <v>206</v>
      </c>
      <c r="CK355" t="s">
        <v>230</v>
      </c>
      <c r="CL355" t="s">
        <v>231</v>
      </c>
      <c r="CM355" t="s">
        <v>232</v>
      </c>
      <c r="CN355" t="s">
        <v>233</v>
      </c>
      <c r="CP355" t="s">
        <v>212</v>
      </c>
      <c r="CQ355" t="s">
        <v>212</v>
      </c>
      <c r="CR355" t="s">
        <v>212</v>
      </c>
      <c r="CS355" t="s">
        <v>212</v>
      </c>
      <c r="CY355" t="s">
        <v>212</v>
      </c>
      <c r="DB355" t="s">
        <v>234</v>
      </c>
      <c r="DE355" t="s">
        <v>212</v>
      </c>
      <c r="DF355" t="s">
        <v>212</v>
      </c>
      <c r="DG355" t="s">
        <v>235</v>
      </c>
      <c r="DH355" t="s">
        <v>212</v>
      </c>
      <c r="DJ355" t="s">
        <v>236</v>
      </c>
      <c r="DM355" t="s">
        <v>212</v>
      </c>
    </row>
    <row r="356" spans="1:117" x14ac:dyDescent="0.3">
      <c r="A356">
        <v>13149642</v>
      </c>
      <c r="B356">
        <v>6519499</v>
      </c>
      <c r="C356" t="str">
        <f>"130706502787"</f>
        <v>130706502787</v>
      </c>
      <c r="D356" t="s">
        <v>284</v>
      </c>
      <c r="E356" t="s">
        <v>1016</v>
      </c>
      <c r="F356" t="s">
        <v>1212</v>
      </c>
      <c r="G356" s="1">
        <v>41461</v>
      </c>
      <c r="I356" t="s">
        <v>240</v>
      </c>
      <c r="J356" t="s">
        <v>200</v>
      </c>
      <c r="K356" t="s">
        <v>201</v>
      </c>
      <c r="Q356" t="s">
        <v>212</v>
      </c>
      <c r="R356" t="str">
        <f>"КАЗАХСТАН, АКМОЛИНСКАЯ, СТЕПНОГОРСК, 12, 87"</f>
        <v>КАЗАХСТАН, АКМОЛИНСКАЯ, СТЕПНОГОРСК, 12, 87</v>
      </c>
      <c r="S356" t="str">
        <f>"ҚАЗАҚСТАН, АҚМОЛА, СТЕПНОГОР, 12, 87"</f>
        <v>ҚАЗАҚСТАН, АҚМОЛА, СТЕПНОГОР, 12, 87</v>
      </c>
      <c r="T356" t="str">
        <f>"12, 87"</f>
        <v>12, 87</v>
      </c>
      <c r="U356" t="str">
        <f>"12, 87"</f>
        <v>12, 87</v>
      </c>
      <c r="AC356" t="str">
        <f>"2019-09-02T00:00:00"</f>
        <v>2019-09-02T00:00:00</v>
      </c>
      <c r="AD356" t="str">
        <f t="shared" si="12"/>
        <v>1</v>
      </c>
      <c r="AE356" t="str">
        <f>"2023-09-01T17:57:15"</f>
        <v>2023-09-01T17:57:15</v>
      </c>
      <c r="AF356" t="str">
        <f>"2024-05-25T17:57:15"</f>
        <v>2024-05-25T17:57:15</v>
      </c>
      <c r="AG356" t="s">
        <v>202</v>
      </c>
      <c r="AI356" t="s">
        <v>269</v>
      </c>
      <c r="AJ356" t="s">
        <v>419</v>
      </c>
      <c r="AK356" t="s">
        <v>253</v>
      </c>
      <c r="AL356" t="s">
        <v>206</v>
      </c>
      <c r="AN356" t="s">
        <v>254</v>
      </c>
      <c r="AO356">
        <v>1</v>
      </c>
      <c r="AP356" t="s">
        <v>208</v>
      </c>
      <c r="AQ356" t="s">
        <v>209</v>
      </c>
      <c r="AR356" t="s">
        <v>210</v>
      </c>
      <c r="AW356" t="s">
        <v>206</v>
      </c>
      <c r="AX356" t="s">
        <v>211</v>
      </c>
      <c r="AZ356" t="s">
        <v>209</v>
      </c>
      <c r="BI356" t="s">
        <v>212</v>
      </c>
      <c r="BJ356" t="s">
        <v>213</v>
      </c>
      <c r="BK356" t="s">
        <v>214</v>
      </c>
      <c r="BL356" t="s">
        <v>215</v>
      </c>
      <c r="BN356" t="s">
        <v>247</v>
      </c>
      <c r="BO356" t="s">
        <v>209</v>
      </c>
      <c r="BP356" t="s">
        <v>241</v>
      </c>
      <c r="BQ356">
        <v>3</v>
      </c>
      <c r="BS356" t="s">
        <v>219</v>
      </c>
      <c r="BT356" t="s">
        <v>220</v>
      </c>
      <c r="BU356" t="s">
        <v>206</v>
      </c>
      <c r="BX356" t="s">
        <v>221</v>
      </c>
      <c r="BY356" t="s">
        <v>221</v>
      </c>
      <c r="CA356" t="s">
        <v>249</v>
      </c>
      <c r="CB356" t="s">
        <v>223</v>
      </c>
      <c r="CC356" t="s">
        <v>256</v>
      </c>
      <c r="CD356" t="s">
        <v>349</v>
      </c>
      <c r="CE356" t="s">
        <v>242</v>
      </c>
      <c r="CJ356" t="s">
        <v>206</v>
      </c>
      <c r="CK356" t="s">
        <v>230</v>
      </c>
      <c r="CL356" t="s">
        <v>231</v>
      </c>
      <c r="CM356" t="s">
        <v>232</v>
      </c>
      <c r="CN356" t="s">
        <v>233</v>
      </c>
      <c r="CP356" t="s">
        <v>212</v>
      </c>
      <c r="CQ356" t="s">
        <v>212</v>
      </c>
      <c r="CR356" t="s">
        <v>212</v>
      </c>
      <c r="CS356" t="s">
        <v>212</v>
      </c>
      <c r="CY356" t="s">
        <v>212</v>
      </c>
      <c r="DB356" t="s">
        <v>234</v>
      </c>
      <c r="DE356" t="s">
        <v>212</v>
      </c>
      <c r="DF356" t="s">
        <v>212</v>
      </c>
      <c r="DG356" t="s">
        <v>235</v>
      </c>
      <c r="DH356" t="s">
        <v>212</v>
      </c>
      <c r="DJ356" t="s">
        <v>236</v>
      </c>
      <c r="DM356" t="s">
        <v>212</v>
      </c>
    </row>
    <row r="357" spans="1:117" x14ac:dyDescent="0.3">
      <c r="A357">
        <v>13147471</v>
      </c>
      <c r="B357">
        <v>840292</v>
      </c>
      <c r="C357" t="str">
        <f>"130410501412"</f>
        <v>130410501412</v>
      </c>
      <c r="D357" t="s">
        <v>1105</v>
      </c>
      <c r="E357" t="s">
        <v>1213</v>
      </c>
      <c r="F357" t="s">
        <v>645</v>
      </c>
      <c r="G357" s="1">
        <v>41374</v>
      </c>
      <c r="I357" t="s">
        <v>240</v>
      </c>
      <c r="J357" t="s">
        <v>200</v>
      </c>
      <c r="K357" t="s">
        <v>201</v>
      </c>
      <c r="Q357" t="s">
        <v>212</v>
      </c>
      <c r="R357" t="str">
        <f>"КАЗАХСТАН, АКМОЛИНСКАЯ, КОКШЕТАУ, 47"</f>
        <v>КАЗАХСТАН, АКМОЛИНСКАЯ, КОКШЕТАУ, 47</v>
      </c>
      <c r="S357" t="str">
        <f>"ҚАЗАҚСТАН, АҚМОЛА, КӨКШЕТАУ, 47"</f>
        <v>ҚАЗАҚСТАН, АҚМОЛА, КӨКШЕТАУ, 47</v>
      </c>
      <c r="T357" t="str">
        <f>"47"</f>
        <v>47</v>
      </c>
      <c r="U357" t="str">
        <f>"47"</f>
        <v>47</v>
      </c>
      <c r="AC357" t="str">
        <f>"2019-06-19T00:00:00"</f>
        <v>2019-06-19T00:00:00</v>
      </c>
      <c r="AD357" t="str">
        <f>"94"</f>
        <v>94</v>
      </c>
      <c r="AG357" t="s">
        <v>202</v>
      </c>
      <c r="AI357" t="s">
        <v>299</v>
      </c>
      <c r="AJ357" t="s">
        <v>419</v>
      </c>
      <c r="AK357" t="s">
        <v>253</v>
      </c>
      <c r="AL357" t="s">
        <v>206</v>
      </c>
      <c r="AN357" t="s">
        <v>254</v>
      </c>
      <c r="AO357">
        <v>1</v>
      </c>
      <c r="AP357" t="s">
        <v>208</v>
      </c>
      <c r="AQ357" t="s">
        <v>209</v>
      </c>
      <c r="AR357" t="s">
        <v>210</v>
      </c>
      <c r="AW357" t="s">
        <v>206</v>
      </c>
      <c r="AX357" t="s">
        <v>211</v>
      </c>
      <c r="AZ357" t="s">
        <v>209</v>
      </c>
      <c r="BI357" t="s">
        <v>212</v>
      </c>
      <c r="BJ357" t="s">
        <v>213</v>
      </c>
      <c r="BK357" t="s">
        <v>214</v>
      </c>
      <c r="BL357" t="s">
        <v>215</v>
      </c>
      <c r="BN357" t="s">
        <v>216</v>
      </c>
      <c r="BO357" t="s">
        <v>209</v>
      </c>
      <c r="BP357" t="s">
        <v>241</v>
      </c>
      <c r="BQ357">
        <v>4</v>
      </c>
      <c r="BS357" t="s">
        <v>219</v>
      </c>
      <c r="BT357" t="s">
        <v>220</v>
      </c>
      <c r="BU357" t="s">
        <v>206</v>
      </c>
      <c r="BX357" t="s">
        <v>221</v>
      </c>
      <c r="BY357" t="s">
        <v>221</v>
      </c>
      <c r="CA357" t="s">
        <v>287</v>
      </c>
      <c r="CC357" t="s">
        <v>222</v>
      </c>
      <c r="CD357" t="s">
        <v>223</v>
      </c>
      <c r="CE357" t="s">
        <v>242</v>
      </c>
      <c r="CJ357" t="s">
        <v>206</v>
      </c>
      <c r="CK357" t="s">
        <v>230</v>
      </c>
      <c r="CL357" t="s">
        <v>231</v>
      </c>
      <c r="CM357" t="s">
        <v>232</v>
      </c>
      <c r="CN357" t="s">
        <v>233</v>
      </c>
      <c r="CP357" t="s">
        <v>212</v>
      </c>
      <c r="CQ357" t="s">
        <v>212</v>
      </c>
      <c r="CR357" t="s">
        <v>212</v>
      </c>
      <c r="CS357" t="s">
        <v>212</v>
      </c>
      <c r="CY357" t="s">
        <v>212</v>
      </c>
      <c r="DB357" t="s">
        <v>234</v>
      </c>
      <c r="DE357" t="s">
        <v>212</v>
      </c>
      <c r="DF357" t="s">
        <v>212</v>
      </c>
      <c r="DG357" t="s">
        <v>235</v>
      </c>
      <c r="DH357" t="s">
        <v>212</v>
      </c>
      <c r="DJ357" t="s">
        <v>236</v>
      </c>
      <c r="DM357" t="s">
        <v>212</v>
      </c>
    </row>
    <row r="358" spans="1:117" x14ac:dyDescent="0.3">
      <c r="A358">
        <v>25513613</v>
      </c>
      <c r="B358">
        <v>308673</v>
      </c>
      <c r="C358" t="str">
        <f>"070722652169"</f>
        <v>070722652169</v>
      </c>
      <c r="D358" t="s">
        <v>695</v>
      </c>
      <c r="E358" t="s">
        <v>597</v>
      </c>
      <c r="F358" t="s">
        <v>697</v>
      </c>
      <c r="G358" s="1">
        <v>39285</v>
      </c>
      <c r="I358" t="s">
        <v>199</v>
      </c>
      <c r="J358" t="s">
        <v>200</v>
      </c>
      <c r="K358" t="s">
        <v>201</v>
      </c>
      <c r="Q358" t="s">
        <v>212</v>
      </c>
      <c r="R358" t="str">
        <f>"КАЗАХСТАН, АКМОЛИНСКАЯ, СТЕПНОГОРСК, 22, 32"</f>
        <v>КАЗАХСТАН, АКМОЛИНСКАЯ, СТЕПНОГОРСК, 22, 32</v>
      </c>
      <c r="S358" t="str">
        <f>"ҚАЗАҚСТАН, АҚМОЛА, СТЕПНОГОР, 22, 32"</f>
        <v>ҚАЗАҚСТАН, АҚМОЛА, СТЕПНОГОР, 22, 32</v>
      </c>
      <c r="T358" t="str">
        <f>"22, 32"</f>
        <v>22, 32</v>
      </c>
      <c r="U358" t="str">
        <f>"22, 32"</f>
        <v>22, 32</v>
      </c>
      <c r="AC358" t="str">
        <f>"2023-08-25T00:00:00"</f>
        <v>2023-08-25T00:00:00</v>
      </c>
      <c r="AD358" t="str">
        <f>"200"</f>
        <v>200</v>
      </c>
      <c r="AG358" t="s">
        <v>202</v>
      </c>
      <c r="AH358" t="str">
        <f>"ckool007@mail.ru"</f>
        <v>ckool007@mail.ru</v>
      </c>
      <c r="AI358" t="s">
        <v>203</v>
      </c>
      <c r="AJ358" t="s">
        <v>1157</v>
      </c>
      <c r="AK358" t="s">
        <v>205</v>
      </c>
      <c r="AL358" t="s">
        <v>206</v>
      </c>
      <c r="AN358" t="s">
        <v>207</v>
      </c>
      <c r="AO358">
        <v>1</v>
      </c>
      <c r="AP358" t="s">
        <v>208</v>
      </c>
      <c r="AQ358" t="s">
        <v>209</v>
      </c>
      <c r="AR358" t="s">
        <v>210</v>
      </c>
      <c r="AW358" t="s">
        <v>206</v>
      </c>
      <c r="AX358" t="s">
        <v>211</v>
      </c>
      <c r="AZ358" t="s">
        <v>209</v>
      </c>
      <c r="BI358" t="s">
        <v>212</v>
      </c>
      <c r="BJ358" t="s">
        <v>213</v>
      </c>
      <c r="BK358" t="s">
        <v>214</v>
      </c>
      <c r="BL358" t="s">
        <v>215</v>
      </c>
      <c r="BN358" t="s">
        <v>216</v>
      </c>
      <c r="BO358" t="s">
        <v>209</v>
      </c>
      <c r="BP358" t="s">
        <v>241</v>
      </c>
      <c r="BQ358">
        <v>4</v>
      </c>
      <c r="BS358" t="s">
        <v>219</v>
      </c>
      <c r="BT358" t="s">
        <v>220</v>
      </c>
      <c r="BU358" t="s">
        <v>206</v>
      </c>
      <c r="BX358" t="s">
        <v>221</v>
      </c>
      <c r="BY358" t="s">
        <v>221</v>
      </c>
      <c r="CA358" t="s">
        <v>222</v>
      </c>
      <c r="CB358" t="s">
        <v>223</v>
      </c>
      <c r="CC358" t="s">
        <v>209</v>
      </c>
      <c r="CE358" t="s">
        <v>242</v>
      </c>
      <c r="CJ358" t="s">
        <v>206</v>
      </c>
      <c r="CK358" t="s">
        <v>291</v>
      </c>
      <c r="CM358" t="s">
        <v>292</v>
      </c>
      <c r="CN358" t="s">
        <v>233</v>
      </c>
      <c r="CP358" t="s">
        <v>212</v>
      </c>
      <c r="CQ358" t="s">
        <v>212</v>
      </c>
      <c r="CR358" t="s">
        <v>212</v>
      </c>
      <c r="CS358" t="s">
        <v>212</v>
      </c>
      <c r="CY358" t="s">
        <v>212</v>
      </c>
      <c r="DB358" t="s">
        <v>234</v>
      </c>
      <c r="DE358" t="s">
        <v>212</v>
      </c>
      <c r="DF358" t="s">
        <v>212</v>
      </c>
      <c r="DG358" t="s">
        <v>235</v>
      </c>
      <c r="DH358" t="s">
        <v>212</v>
      </c>
      <c r="DJ358" t="s">
        <v>236</v>
      </c>
      <c r="DM358" t="s">
        <v>212</v>
      </c>
    </row>
    <row r="359" spans="1:117" x14ac:dyDescent="0.3">
      <c r="A359">
        <v>25513614</v>
      </c>
      <c r="B359">
        <v>307066</v>
      </c>
      <c r="C359" t="str">
        <f>"070219551338"</f>
        <v>070219551338</v>
      </c>
      <c r="D359" t="s">
        <v>1214</v>
      </c>
      <c r="E359" t="s">
        <v>842</v>
      </c>
      <c r="F359" t="s">
        <v>521</v>
      </c>
      <c r="G359" s="1">
        <v>39132</v>
      </c>
      <c r="I359" t="s">
        <v>240</v>
      </c>
      <c r="J359" t="s">
        <v>200</v>
      </c>
      <c r="K359" t="s">
        <v>260</v>
      </c>
      <c r="Q359" t="s">
        <v>212</v>
      </c>
      <c r="R359" t="str">
        <f>"КАЗАХСТАН, АКМОЛИНСКАЯ, СТЕПНОГОРСК, 40, 68"</f>
        <v>КАЗАХСТАН, АКМОЛИНСКАЯ, СТЕПНОГОРСК, 40, 68</v>
      </c>
      <c r="S359" t="str">
        <f>"ҚАЗАҚСТАН, АҚМОЛА, СТЕПНОГОР, 40, 68"</f>
        <v>ҚАЗАҚСТАН, АҚМОЛА, СТЕПНОГОР, 40, 68</v>
      </c>
      <c r="T359" t="str">
        <f>"40, 68"</f>
        <v>40, 68</v>
      </c>
      <c r="U359" t="str">
        <f>"40, 68"</f>
        <v>40, 68</v>
      </c>
      <c r="AC359" t="str">
        <f>"2023-08-25T00:00:00"</f>
        <v>2023-08-25T00:00:00</v>
      </c>
      <c r="AD359" t="str">
        <f>"200"</f>
        <v>200</v>
      </c>
      <c r="AG359" t="s">
        <v>202</v>
      </c>
      <c r="AH359" t="str">
        <f>"ckool007@mail.ru"</f>
        <v>ckool007@mail.ru</v>
      </c>
      <c r="AI359" t="s">
        <v>203</v>
      </c>
      <c r="AJ359" t="s">
        <v>1157</v>
      </c>
      <c r="AK359" t="s">
        <v>205</v>
      </c>
      <c r="AL359" t="s">
        <v>206</v>
      </c>
      <c r="AN359" t="s">
        <v>207</v>
      </c>
      <c r="AO359">
        <v>1</v>
      </c>
      <c r="AP359" t="s">
        <v>208</v>
      </c>
      <c r="AQ359" t="s">
        <v>209</v>
      </c>
      <c r="AR359" t="s">
        <v>210</v>
      </c>
      <c r="AW359" t="s">
        <v>206</v>
      </c>
      <c r="AX359" t="s">
        <v>211</v>
      </c>
      <c r="AZ359" t="s">
        <v>209</v>
      </c>
      <c r="BI359" t="s">
        <v>212</v>
      </c>
      <c r="BJ359" t="s">
        <v>213</v>
      </c>
      <c r="BK359" t="s">
        <v>214</v>
      </c>
      <c r="BL359" t="s">
        <v>215</v>
      </c>
      <c r="BN359" t="s">
        <v>216</v>
      </c>
      <c r="BO359" t="s">
        <v>209</v>
      </c>
      <c r="BP359" t="s">
        <v>217</v>
      </c>
      <c r="BQ359" t="s">
        <v>218</v>
      </c>
      <c r="BS359" t="s">
        <v>219</v>
      </c>
      <c r="BT359" t="s">
        <v>220</v>
      </c>
      <c r="BU359" t="s">
        <v>206</v>
      </c>
      <c r="BX359" t="s">
        <v>221</v>
      </c>
      <c r="BY359" t="s">
        <v>221</v>
      </c>
      <c r="CA359" t="s">
        <v>222</v>
      </c>
      <c r="CB359" t="s">
        <v>223</v>
      </c>
      <c r="CC359" t="s">
        <v>222</v>
      </c>
      <c r="CD359" t="s">
        <v>223</v>
      </c>
      <c r="CE359" t="s">
        <v>242</v>
      </c>
      <c r="CJ359" t="s">
        <v>206</v>
      </c>
      <c r="CK359" t="s">
        <v>291</v>
      </c>
      <c r="CM359" t="s">
        <v>292</v>
      </c>
      <c r="CN359" t="s">
        <v>233</v>
      </c>
      <c r="CP359" t="s">
        <v>212</v>
      </c>
      <c r="CQ359" t="s">
        <v>212</v>
      </c>
      <c r="CR359" t="s">
        <v>212</v>
      </c>
      <c r="CS359" t="s">
        <v>212</v>
      </c>
      <c r="CY359" t="s">
        <v>212</v>
      </c>
      <c r="DB359" t="s">
        <v>234</v>
      </c>
      <c r="DE359" t="s">
        <v>212</v>
      </c>
      <c r="DF359" t="s">
        <v>212</v>
      </c>
      <c r="DG359" t="s">
        <v>235</v>
      </c>
      <c r="DH359" t="s">
        <v>212</v>
      </c>
      <c r="DJ359" t="s">
        <v>236</v>
      </c>
      <c r="DM359" t="s">
        <v>212</v>
      </c>
    </row>
    <row r="360" spans="1:117" x14ac:dyDescent="0.3">
      <c r="A360">
        <v>13147159</v>
      </c>
      <c r="B360">
        <v>766083</v>
      </c>
      <c r="C360" t="str">
        <f>"130621502854"</f>
        <v>130621502854</v>
      </c>
      <c r="D360" t="s">
        <v>1215</v>
      </c>
      <c r="E360" t="s">
        <v>888</v>
      </c>
      <c r="F360" t="s">
        <v>1216</v>
      </c>
      <c r="G360" s="1">
        <v>41446</v>
      </c>
      <c r="I360" t="s">
        <v>240</v>
      </c>
      <c r="J360" t="s">
        <v>200</v>
      </c>
      <c r="K360" t="s">
        <v>201</v>
      </c>
      <c r="Q360" t="s">
        <v>212</v>
      </c>
      <c r="R360" t="str">
        <f>"КАЗАХСТАН, АКМОЛИНСКАЯ, СТЕПНОГОРСК, 68, 20"</f>
        <v>КАЗАХСТАН, АКМОЛИНСКАЯ, СТЕПНОГОРСК, 68, 20</v>
      </c>
      <c r="S360" t="str">
        <f>"ҚАЗАҚСТАН, АҚМОЛА, СТЕПНОГОР, 68, 20"</f>
        <v>ҚАЗАҚСТАН, АҚМОЛА, СТЕПНОГОР, 68, 20</v>
      </c>
      <c r="T360" t="str">
        <f>"68, 20"</f>
        <v>68, 20</v>
      </c>
      <c r="U360" t="str">
        <f>"68, 20"</f>
        <v>68, 20</v>
      </c>
      <c r="AC360" t="str">
        <f>"2019-08-28T00:00:00"</f>
        <v>2019-08-28T00:00:00</v>
      </c>
      <c r="AD360" t="str">
        <f>"1"</f>
        <v>1</v>
      </c>
      <c r="AE360" t="str">
        <f>"2023-09-01T17:58:12"</f>
        <v>2023-09-01T17:58:12</v>
      </c>
      <c r="AF360" t="str">
        <f>"2024-05-25T17:58:12"</f>
        <v>2024-05-25T17:58:12</v>
      </c>
      <c r="AG360" t="s">
        <v>202</v>
      </c>
      <c r="AI360" t="s">
        <v>269</v>
      </c>
      <c r="AJ360" t="s">
        <v>419</v>
      </c>
      <c r="AK360" t="s">
        <v>253</v>
      </c>
      <c r="AL360" t="s">
        <v>206</v>
      </c>
      <c r="AN360" t="s">
        <v>254</v>
      </c>
      <c r="AO360">
        <v>1</v>
      </c>
      <c r="AP360" t="s">
        <v>208</v>
      </c>
      <c r="AQ360" t="s">
        <v>209</v>
      </c>
      <c r="AR360" t="s">
        <v>210</v>
      </c>
      <c r="AW360" t="s">
        <v>206</v>
      </c>
      <c r="AX360" t="s">
        <v>211</v>
      </c>
      <c r="AZ360" t="s">
        <v>209</v>
      </c>
      <c r="BI360" t="s">
        <v>212</v>
      </c>
      <c r="BJ360" t="s">
        <v>213</v>
      </c>
      <c r="BK360" t="s">
        <v>214</v>
      </c>
      <c r="BL360" t="s">
        <v>215</v>
      </c>
      <c r="BN360" t="s">
        <v>247</v>
      </c>
      <c r="BO360" t="s">
        <v>209</v>
      </c>
      <c r="BP360" t="s">
        <v>241</v>
      </c>
      <c r="BQ360">
        <v>3</v>
      </c>
      <c r="BS360" t="s">
        <v>219</v>
      </c>
      <c r="BT360" t="s">
        <v>220</v>
      </c>
      <c r="BU360" t="s">
        <v>206</v>
      </c>
      <c r="BX360" t="s">
        <v>221</v>
      </c>
      <c r="BY360" t="s">
        <v>221</v>
      </c>
      <c r="CA360" t="s">
        <v>287</v>
      </c>
      <c r="CC360" t="s">
        <v>404</v>
      </c>
      <c r="CD360" t="s">
        <v>223</v>
      </c>
      <c r="CE360" t="s">
        <v>242</v>
      </c>
      <c r="CJ360" t="s">
        <v>206</v>
      </c>
      <c r="CK360" t="s">
        <v>230</v>
      </c>
      <c r="CL360" t="s">
        <v>231</v>
      </c>
      <c r="CM360" t="s">
        <v>232</v>
      </c>
      <c r="CN360" t="s">
        <v>233</v>
      </c>
      <c r="CP360" t="s">
        <v>212</v>
      </c>
      <c r="CQ360" t="s">
        <v>212</v>
      </c>
      <c r="CR360" t="s">
        <v>212</v>
      </c>
      <c r="CS360" t="s">
        <v>212</v>
      </c>
      <c r="CY360" t="s">
        <v>212</v>
      </c>
      <c r="DB360" t="s">
        <v>234</v>
      </c>
      <c r="DE360" t="s">
        <v>212</v>
      </c>
      <c r="DF360" t="s">
        <v>212</v>
      </c>
      <c r="DG360" t="s">
        <v>235</v>
      </c>
      <c r="DH360" t="s">
        <v>212</v>
      </c>
      <c r="DJ360" t="s">
        <v>236</v>
      </c>
      <c r="DM360" t="s">
        <v>212</v>
      </c>
    </row>
    <row r="361" spans="1:117" x14ac:dyDescent="0.3">
      <c r="A361">
        <v>13143017</v>
      </c>
      <c r="B361">
        <v>840808</v>
      </c>
      <c r="C361" t="str">
        <f>"130107000069"</f>
        <v>130107000069</v>
      </c>
      <c r="D361" t="s">
        <v>504</v>
      </c>
      <c r="E361" t="s">
        <v>1217</v>
      </c>
      <c r="F361" t="s">
        <v>506</v>
      </c>
      <c r="G361" s="1">
        <v>41281</v>
      </c>
      <c r="I361" t="s">
        <v>199</v>
      </c>
      <c r="J361" t="s">
        <v>200</v>
      </c>
      <c r="K361" t="s">
        <v>201</v>
      </c>
      <c r="Q361" t="s">
        <v>212</v>
      </c>
      <c r="R361" t="str">
        <f>"КАЗАХСТАН, АКМОЛИНСКАЯ, СТЕПНОГОРСК, 10, 82"</f>
        <v>КАЗАХСТАН, АКМОЛИНСКАЯ, СТЕПНОГОРСК, 10, 82</v>
      </c>
      <c r="S361" t="str">
        <f>"ҚАЗАҚСТАН, АҚМОЛА, СТЕПНОГОР, 10, 82"</f>
        <v>ҚАЗАҚСТАН, АҚМОЛА, СТЕПНОГОР, 10, 82</v>
      </c>
      <c r="T361" t="str">
        <f>"10, 82"</f>
        <v>10, 82</v>
      </c>
      <c r="U361" t="str">
        <f>"10, 82"</f>
        <v>10, 82</v>
      </c>
      <c r="AC361" t="str">
        <f>"2019-09-02T00:00:00"</f>
        <v>2019-09-02T00:00:00</v>
      </c>
      <c r="AD361" t="str">
        <f>"188"</f>
        <v>188</v>
      </c>
      <c r="AG361" t="s">
        <v>202</v>
      </c>
      <c r="AI361" t="s">
        <v>299</v>
      </c>
      <c r="AJ361" t="s">
        <v>419</v>
      </c>
      <c r="AK361" t="s">
        <v>253</v>
      </c>
      <c r="AL361" t="s">
        <v>206</v>
      </c>
      <c r="AN361" t="s">
        <v>254</v>
      </c>
      <c r="AO361">
        <v>1</v>
      </c>
      <c r="AP361" t="s">
        <v>208</v>
      </c>
      <c r="AQ361" t="s">
        <v>209</v>
      </c>
      <c r="AR361" t="s">
        <v>210</v>
      </c>
      <c r="AW361" t="s">
        <v>206</v>
      </c>
      <c r="AX361" t="s">
        <v>211</v>
      </c>
      <c r="AZ361" t="s">
        <v>209</v>
      </c>
      <c r="BI361" t="s">
        <v>212</v>
      </c>
      <c r="BJ361" t="s">
        <v>213</v>
      </c>
      <c r="BK361" t="s">
        <v>214</v>
      </c>
      <c r="BL361" t="s">
        <v>215</v>
      </c>
      <c r="BN361" t="s">
        <v>216</v>
      </c>
      <c r="BO361" t="s">
        <v>209</v>
      </c>
      <c r="BP361" t="s">
        <v>241</v>
      </c>
      <c r="BQ361">
        <v>4</v>
      </c>
      <c r="BS361" t="s">
        <v>219</v>
      </c>
      <c r="BT361" t="s">
        <v>220</v>
      </c>
      <c r="BU361" t="s">
        <v>206</v>
      </c>
      <c r="BX361" t="s">
        <v>221</v>
      </c>
      <c r="BY361" t="s">
        <v>221</v>
      </c>
      <c r="CA361" t="s">
        <v>263</v>
      </c>
      <c r="CB361" t="s">
        <v>223</v>
      </c>
      <c r="CC361" t="s">
        <v>222</v>
      </c>
      <c r="CD361" t="s">
        <v>223</v>
      </c>
      <c r="CE361" t="s">
        <v>242</v>
      </c>
      <c r="CJ361" t="s">
        <v>206</v>
      </c>
      <c r="CK361" t="s">
        <v>230</v>
      </c>
      <c r="CL361" t="s">
        <v>231</v>
      </c>
      <c r="CM361" t="s">
        <v>232</v>
      </c>
      <c r="CN361" t="s">
        <v>233</v>
      </c>
      <c r="CP361" t="s">
        <v>212</v>
      </c>
      <c r="CQ361" t="s">
        <v>212</v>
      </c>
      <c r="CR361" t="s">
        <v>212</v>
      </c>
      <c r="CS361" t="s">
        <v>212</v>
      </c>
      <c r="CY361" t="s">
        <v>212</v>
      </c>
      <c r="DB361" t="s">
        <v>234</v>
      </c>
      <c r="DE361" t="s">
        <v>212</v>
      </c>
      <c r="DF361" t="s">
        <v>212</v>
      </c>
      <c r="DG361" t="s">
        <v>235</v>
      </c>
      <c r="DH361" t="s">
        <v>212</v>
      </c>
      <c r="DJ361" t="s">
        <v>236</v>
      </c>
      <c r="DM361" t="s">
        <v>212</v>
      </c>
    </row>
    <row r="362" spans="1:117" x14ac:dyDescent="0.3">
      <c r="A362">
        <v>13141198</v>
      </c>
      <c r="B362">
        <v>840330</v>
      </c>
      <c r="C362" t="str">
        <f>"130629601408"</f>
        <v>130629601408</v>
      </c>
      <c r="D362" t="s">
        <v>462</v>
      </c>
      <c r="E362" t="s">
        <v>492</v>
      </c>
      <c r="F362" t="s">
        <v>1218</v>
      </c>
      <c r="G362" s="1">
        <v>41454</v>
      </c>
      <c r="I362" t="s">
        <v>199</v>
      </c>
      <c r="J362" t="s">
        <v>200</v>
      </c>
      <c r="K362" t="s">
        <v>201</v>
      </c>
      <c r="Q362" t="s">
        <v>212</v>
      </c>
      <c r="R362" t="str">
        <f>"КАЗАХСТАН, АКМОЛИНСКАЯ, СТЕПНОГОРСК, 12, 55"</f>
        <v>КАЗАХСТАН, АКМОЛИНСКАЯ, СТЕПНОГОРСК, 12, 55</v>
      </c>
      <c r="S362" t="str">
        <f>"ҚАЗАҚСТАН, АҚМОЛА, СТЕПНОГОР, 12, 55"</f>
        <v>ҚАЗАҚСТАН, АҚМОЛА, СТЕПНОГОР, 12, 55</v>
      </c>
      <c r="T362" t="str">
        <f>"12, 55"</f>
        <v>12, 55</v>
      </c>
      <c r="U362" t="str">
        <f>"12, 55"</f>
        <v>12, 55</v>
      </c>
      <c r="AC362" t="str">
        <f>"2019-08-29T00:00:00"</f>
        <v>2019-08-29T00:00:00</v>
      </c>
      <c r="AD362" t="str">
        <f>"1"</f>
        <v>1</v>
      </c>
      <c r="AG362" t="s">
        <v>202</v>
      </c>
      <c r="AI362" t="s">
        <v>299</v>
      </c>
      <c r="AJ362" t="s">
        <v>419</v>
      </c>
      <c r="AK362" t="s">
        <v>253</v>
      </c>
      <c r="AL362" t="s">
        <v>206</v>
      </c>
      <c r="AN362" t="s">
        <v>254</v>
      </c>
      <c r="AO362">
        <v>1</v>
      </c>
      <c r="AP362" t="s">
        <v>208</v>
      </c>
      <c r="AQ362" t="s">
        <v>209</v>
      </c>
      <c r="AR362" t="s">
        <v>210</v>
      </c>
      <c r="AW362" t="s">
        <v>206</v>
      </c>
      <c r="AX362" t="s">
        <v>211</v>
      </c>
      <c r="AZ362" t="s">
        <v>209</v>
      </c>
      <c r="BI362" t="s">
        <v>212</v>
      </c>
      <c r="BJ362" t="s">
        <v>213</v>
      </c>
      <c r="BK362" t="s">
        <v>214</v>
      </c>
      <c r="BL362" t="s">
        <v>215</v>
      </c>
      <c r="BN362" t="s">
        <v>216</v>
      </c>
      <c r="BO362" t="s">
        <v>209</v>
      </c>
      <c r="BP362" t="s">
        <v>241</v>
      </c>
      <c r="BQ362">
        <v>5</v>
      </c>
      <c r="BS362" t="s">
        <v>219</v>
      </c>
      <c r="BT362" t="s">
        <v>220</v>
      </c>
      <c r="BU362" t="s">
        <v>206</v>
      </c>
      <c r="BX362" t="s">
        <v>221</v>
      </c>
      <c r="BY362" t="s">
        <v>221</v>
      </c>
      <c r="CA362" t="s">
        <v>287</v>
      </c>
      <c r="CC362" t="s">
        <v>222</v>
      </c>
      <c r="CD362" t="s">
        <v>223</v>
      </c>
      <c r="CE362" t="s">
        <v>242</v>
      </c>
      <c r="CJ362" t="s">
        <v>206</v>
      </c>
      <c r="CK362" t="s">
        <v>230</v>
      </c>
      <c r="CL362" t="s">
        <v>231</v>
      </c>
      <c r="CM362" t="s">
        <v>232</v>
      </c>
      <c r="CN362" t="s">
        <v>233</v>
      </c>
      <c r="CP362" t="s">
        <v>212</v>
      </c>
      <c r="CQ362" t="s">
        <v>212</v>
      </c>
      <c r="CR362" t="s">
        <v>212</v>
      </c>
      <c r="CS362" t="s">
        <v>212</v>
      </c>
      <c r="CY362" t="s">
        <v>212</v>
      </c>
      <c r="DB362" t="s">
        <v>234</v>
      </c>
      <c r="DE362" t="s">
        <v>212</v>
      </c>
      <c r="DF362" t="s">
        <v>212</v>
      </c>
      <c r="DG362" t="s">
        <v>235</v>
      </c>
      <c r="DH362" t="s">
        <v>212</v>
      </c>
      <c r="DJ362" t="s">
        <v>236</v>
      </c>
      <c r="DM362" t="s">
        <v>212</v>
      </c>
    </row>
    <row r="363" spans="1:117" x14ac:dyDescent="0.3">
      <c r="A363">
        <v>13140996</v>
      </c>
      <c r="B363">
        <v>321384</v>
      </c>
      <c r="C363" t="str">
        <f>"130624505338"</f>
        <v>130624505338</v>
      </c>
      <c r="D363" t="s">
        <v>1219</v>
      </c>
      <c r="E363" t="s">
        <v>1220</v>
      </c>
      <c r="F363" t="s">
        <v>1221</v>
      </c>
      <c r="G363" s="1">
        <v>41449</v>
      </c>
      <c r="I363" t="s">
        <v>240</v>
      </c>
      <c r="J363" t="s">
        <v>200</v>
      </c>
      <c r="K363" t="s">
        <v>201</v>
      </c>
      <c r="Q363" t="s">
        <v>212</v>
      </c>
      <c r="R363" t="str">
        <f>"КАЗАХСТАН, АКМОЛИНСКАЯ, СТЕПНОГОРСК, 6"</f>
        <v>КАЗАХСТАН, АКМОЛИНСКАЯ, СТЕПНОГОРСК, 6</v>
      </c>
      <c r="S363" t="str">
        <f>"ҚАЗАҚСТАН, АҚМОЛА, СТЕПНОГОР, 6"</f>
        <v>ҚАЗАҚСТАН, АҚМОЛА, СТЕПНОГОР, 6</v>
      </c>
      <c r="T363" t="str">
        <f>"6"</f>
        <v>6</v>
      </c>
      <c r="U363" t="str">
        <f>"6"</f>
        <v>6</v>
      </c>
      <c r="AC363" t="str">
        <f>"2019-08-29T00:00:00"</f>
        <v>2019-08-29T00:00:00</v>
      </c>
      <c r="AD363" t="str">
        <f>"1"</f>
        <v>1</v>
      </c>
      <c r="AG363" t="s">
        <v>202</v>
      </c>
      <c r="AI363" t="s">
        <v>269</v>
      </c>
      <c r="AJ363" t="s">
        <v>419</v>
      </c>
      <c r="AK363" t="s">
        <v>434</v>
      </c>
      <c r="AL363" t="s">
        <v>206</v>
      </c>
      <c r="AN363" t="s">
        <v>254</v>
      </c>
      <c r="AO363">
        <v>1</v>
      </c>
      <c r="AP363" t="s">
        <v>208</v>
      </c>
      <c r="AQ363" t="s">
        <v>209</v>
      </c>
      <c r="AR363" t="s">
        <v>210</v>
      </c>
      <c r="AW363" t="s">
        <v>206</v>
      </c>
      <c r="AX363" t="s">
        <v>211</v>
      </c>
      <c r="AZ363" t="s">
        <v>209</v>
      </c>
      <c r="BI363" t="s">
        <v>212</v>
      </c>
      <c r="BJ363" t="s">
        <v>213</v>
      </c>
      <c r="BK363" t="s">
        <v>214</v>
      </c>
      <c r="BL363" t="s">
        <v>215</v>
      </c>
      <c r="BN363" t="s">
        <v>247</v>
      </c>
      <c r="BO363" t="s">
        <v>209</v>
      </c>
      <c r="BP363" t="s">
        <v>241</v>
      </c>
      <c r="BQ363">
        <v>3</v>
      </c>
      <c r="BS363" t="s">
        <v>219</v>
      </c>
      <c r="BT363" t="s">
        <v>220</v>
      </c>
      <c r="BU363" t="s">
        <v>206</v>
      </c>
      <c r="BX363" t="s">
        <v>221</v>
      </c>
      <c r="BY363" t="s">
        <v>221</v>
      </c>
      <c r="CA363" t="s">
        <v>287</v>
      </c>
      <c r="CC363" t="s">
        <v>256</v>
      </c>
      <c r="CD363" t="s">
        <v>223</v>
      </c>
      <c r="CE363" t="s">
        <v>242</v>
      </c>
      <c r="CJ363" t="s">
        <v>206</v>
      </c>
      <c r="CK363" t="s">
        <v>230</v>
      </c>
      <c r="CL363" t="s">
        <v>231</v>
      </c>
      <c r="CM363" t="s">
        <v>232</v>
      </c>
      <c r="CN363" t="s">
        <v>233</v>
      </c>
      <c r="CP363" t="s">
        <v>212</v>
      </c>
      <c r="CQ363" t="s">
        <v>212</v>
      </c>
      <c r="CR363" t="s">
        <v>212</v>
      </c>
      <c r="CS363" t="s">
        <v>212</v>
      </c>
      <c r="CY363" t="s">
        <v>212</v>
      </c>
      <c r="DB363" t="s">
        <v>234</v>
      </c>
      <c r="DE363" t="s">
        <v>212</v>
      </c>
      <c r="DF363" t="s">
        <v>212</v>
      </c>
      <c r="DG363" t="s">
        <v>235</v>
      </c>
      <c r="DH363" t="s">
        <v>212</v>
      </c>
      <c r="DJ363" t="s">
        <v>236</v>
      </c>
      <c r="DM363" t="s">
        <v>206</v>
      </c>
    </row>
    <row r="364" spans="1:117" x14ac:dyDescent="0.3">
      <c r="A364">
        <v>13140713</v>
      </c>
      <c r="B364">
        <v>839192</v>
      </c>
      <c r="C364" t="str">
        <f>"130805602632"</f>
        <v>130805602632</v>
      </c>
      <c r="D364" t="s">
        <v>451</v>
      </c>
      <c r="E364" t="s">
        <v>1222</v>
      </c>
      <c r="F364" t="s">
        <v>453</v>
      </c>
      <c r="G364" s="1">
        <v>41491</v>
      </c>
      <c r="I364" t="s">
        <v>199</v>
      </c>
      <c r="J364" t="s">
        <v>200</v>
      </c>
      <c r="K364" t="s">
        <v>201</v>
      </c>
      <c r="Q364" t="s">
        <v>212</v>
      </c>
      <c r="R364" t="str">
        <f>"КАЗАХСТАН, АКМОЛИНСКАЯ, СТЕПНОГОРСК, 10, 107"</f>
        <v>КАЗАХСТАН, АКМОЛИНСКАЯ, СТЕПНОГОРСК, 10, 107</v>
      </c>
      <c r="S364" t="str">
        <f>"ҚАЗАҚСТАН, АҚМОЛА, СТЕПНОГОР, 10, 107"</f>
        <v>ҚАЗАҚСТАН, АҚМОЛА, СТЕПНОГОР, 10, 107</v>
      </c>
      <c r="T364" t="str">
        <f>"10, 107"</f>
        <v>10, 107</v>
      </c>
      <c r="U364" t="str">
        <f>"10, 107"</f>
        <v>10, 107</v>
      </c>
      <c r="AC364" t="str">
        <f>"2019-08-29T00:00:00"</f>
        <v>2019-08-29T00:00:00</v>
      </c>
      <c r="AD364" t="str">
        <f>"1"</f>
        <v>1</v>
      </c>
      <c r="AG364" t="s">
        <v>202</v>
      </c>
      <c r="AI364" t="s">
        <v>299</v>
      </c>
      <c r="AJ364" t="s">
        <v>419</v>
      </c>
      <c r="AK364" t="s">
        <v>434</v>
      </c>
      <c r="AL364" t="s">
        <v>206</v>
      </c>
      <c r="AN364" t="s">
        <v>254</v>
      </c>
      <c r="AO364">
        <v>1</v>
      </c>
      <c r="AP364" t="s">
        <v>208</v>
      </c>
      <c r="AQ364" t="s">
        <v>209</v>
      </c>
      <c r="AR364" t="s">
        <v>210</v>
      </c>
      <c r="AW364" t="s">
        <v>206</v>
      </c>
      <c r="AX364" t="s">
        <v>211</v>
      </c>
      <c r="AZ364" t="s">
        <v>209</v>
      </c>
      <c r="BI364" t="s">
        <v>212</v>
      </c>
      <c r="BJ364" t="s">
        <v>213</v>
      </c>
      <c r="BK364" t="s">
        <v>214</v>
      </c>
      <c r="BL364" t="s">
        <v>215</v>
      </c>
      <c r="BN364" t="s">
        <v>216</v>
      </c>
      <c r="BO364" t="s">
        <v>209</v>
      </c>
      <c r="BP364" t="s">
        <v>241</v>
      </c>
      <c r="BQ364">
        <v>4</v>
      </c>
      <c r="BS364" t="s">
        <v>219</v>
      </c>
      <c r="BT364" t="s">
        <v>220</v>
      </c>
      <c r="BU364" t="s">
        <v>206</v>
      </c>
      <c r="BX364" t="s">
        <v>221</v>
      </c>
      <c r="BY364" t="s">
        <v>221</v>
      </c>
      <c r="CA364" t="s">
        <v>287</v>
      </c>
      <c r="CC364" t="s">
        <v>222</v>
      </c>
      <c r="CD364" t="s">
        <v>223</v>
      </c>
      <c r="CE364" t="s">
        <v>242</v>
      </c>
      <c r="CJ364" t="s">
        <v>206</v>
      </c>
      <c r="CK364" t="s">
        <v>230</v>
      </c>
      <c r="CL364" t="s">
        <v>231</v>
      </c>
      <c r="CM364" t="s">
        <v>232</v>
      </c>
      <c r="CN364" t="s">
        <v>233</v>
      </c>
      <c r="CP364" t="s">
        <v>212</v>
      </c>
      <c r="CQ364" t="s">
        <v>212</v>
      </c>
      <c r="CR364" t="s">
        <v>212</v>
      </c>
      <c r="CS364" t="s">
        <v>212</v>
      </c>
      <c r="CY364" t="s">
        <v>212</v>
      </c>
      <c r="DB364" t="s">
        <v>234</v>
      </c>
      <c r="DE364" t="s">
        <v>212</v>
      </c>
      <c r="DF364" t="s">
        <v>212</v>
      </c>
      <c r="DG364" t="s">
        <v>235</v>
      </c>
      <c r="DH364" t="s">
        <v>212</v>
      </c>
      <c r="DJ364" t="s">
        <v>236</v>
      </c>
      <c r="DM364" t="s">
        <v>206</v>
      </c>
    </row>
    <row r="365" spans="1:117" x14ac:dyDescent="0.3">
      <c r="A365">
        <v>13139978</v>
      </c>
      <c r="B365">
        <v>859977</v>
      </c>
      <c r="C365" t="str">
        <f>"120706600597"</f>
        <v>120706600597</v>
      </c>
      <c r="D365" t="s">
        <v>1223</v>
      </c>
      <c r="E365" t="s">
        <v>781</v>
      </c>
      <c r="F365" t="s">
        <v>1224</v>
      </c>
      <c r="G365" s="1">
        <v>41096</v>
      </c>
      <c r="I365" t="s">
        <v>199</v>
      </c>
      <c r="J365" t="s">
        <v>200</v>
      </c>
      <c r="K365" t="s">
        <v>201</v>
      </c>
      <c r="Q365" t="s">
        <v>212</v>
      </c>
      <c r="R365" t="str">
        <f>"КАЗАХСТАН, АКМОЛИНСКАЯ, СТЕПНОГОРСК, 87, 75"</f>
        <v>КАЗАХСТАН, АКМОЛИНСКАЯ, СТЕПНОГОРСК, 87, 75</v>
      </c>
      <c r="S365" t="str">
        <f>"ҚАЗАҚСТАН, АҚМОЛА, СТЕПНОГОР, 87, 75"</f>
        <v>ҚАЗАҚСТАН, АҚМОЛА, СТЕПНОГОР, 87, 75</v>
      </c>
      <c r="T365" t="str">
        <f>"87, 75"</f>
        <v>87, 75</v>
      </c>
      <c r="U365" t="str">
        <f>"87, 75"</f>
        <v>87, 75</v>
      </c>
      <c r="AC365" t="str">
        <f>"2019-08-29T00:00:00"</f>
        <v>2019-08-29T00:00:00</v>
      </c>
      <c r="AD365" t="str">
        <f>"1"</f>
        <v>1</v>
      </c>
      <c r="AE365" t="str">
        <f>"2023-09-01T23:51:44"</f>
        <v>2023-09-01T23:51:44</v>
      </c>
      <c r="AF365" t="str">
        <f>"2024-05-25T23:51:44"</f>
        <v>2024-05-25T23:51:44</v>
      </c>
      <c r="AG365" t="s">
        <v>202</v>
      </c>
      <c r="AI365" t="s">
        <v>299</v>
      </c>
      <c r="AJ365" t="s">
        <v>419</v>
      </c>
      <c r="AK365" t="s">
        <v>434</v>
      </c>
      <c r="AL365" t="s">
        <v>206</v>
      </c>
      <c r="AN365" t="s">
        <v>254</v>
      </c>
      <c r="AO365">
        <v>1</v>
      </c>
      <c r="AP365" t="s">
        <v>208</v>
      </c>
      <c r="AQ365" t="s">
        <v>209</v>
      </c>
      <c r="AR365" t="s">
        <v>210</v>
      </c>
      <c r="AW365" t="s">
        <v>206</v>
      </c>
      <c r="AX365" t="s">
        <v>211</v>
      </c>
      <c r="AZ365" t="s">
        <v>209</v>
      </c>
      <c r="BI365" t="s">
        <v>212</v>
      </c>
      <c r="BJ365" t="s">
        <v>213</v>
      </c>
      <c r="BK365" t="s">
        <v>214</v>
      </c>
      <c r="BL365" t="s">
        <v>215</v>
      </c>
      <c r="BN365" t="s">
        <v>216</v>
      </c>
      <c r="BO365" t="s">
        <v>209</v>
      </c>
      <c r="BP365" t="s">
        <v>241</v>
      </c>
      <c r="BQ365">
        <v>4</v>
      </c>
      <c r="BS365" t="s">
        <v>219</v>
      </c>
      <c r="BT365" t="s">
        <v>220</v>
      </c>
      <c r="BU365" t="s">
        <v>206</v>
      </c>
      <c r="BX365" t="s">
        <v>221</v>
      </c>
      <c r="BY365" t="s">
        <v>221</v>
      </c>
      <c r="CA365" t="s">
        <v>287</v>
      </c>
      <c r="CC365" t="s">
        <v>310</v>
      </c>
      <c r="CD365" t="s">
        <v>223</v>
      </c>
      <c r="CE365" t="s">
        <v>242</v>
      </c>
      <c r="CJ365" t="s">
        <v>206</v>
      </c>
      <c r="CK365" t="s">
        <v>230</v>
      </c>
      <c r="CL365" t="s">
        <v>231</v>
      </c>
      <c r="CM365" t="s">
        <v>232</v>
      </c>
      <c r="CN365" t="s">
        <v>233</v>
      </c>
      <c r="CP365" t="s">
        <v>212</v>
      </c>
      <c r="CQ365" t="s">
        <v>212</v>
      </c>
      <c r="CR365" t="s">
        <v>212</v>
      </c>
      <c r="CS365" t="s">
        <v>212</v>
      </c>
      <c r="CY365" t="s">
        <v>212</v>
      </c>
      <c r="DB365" t="s">
        <v>234</v>
      </c>
      <c r="DE365" t="s">
        <v>212</v>
      </c>
      <c r="DF365" t="s">
        <v>212</v>
      </c>
      <c r="DG365" t="s">
        <v>235</v>
      </c>
      <c r="DH365" t="s">
        <v>212</v>
      </c>
      <c r="DJ365" t="s">
        <v>236</v>
      </c>
      <c r="DM365" t="s">
        <v>212</v>
      </c>
    </row>
    <row r="366" spans="1:117" x14ac:dyDescent="0.3">
      <c r="A366">
        <v>13139397</v>
      </c>
      <c r="B366">
        <v>8907885</v>
      </c>
      <c r="C366" t="str">
        <f>"120301000130"</f>
        <v>120301000130</v>
      </c>
      <c r="D366" t="s">
        <v>1225</v>
      </c>
      <c r="E366" t="s">
        <v>677</v>
      </c>
      <c r="F366" t="s">
        <v>1226</v>
      </c>
      <c r="G366" s="1">
        <v>40969</v>
      </c>
      <c r="I366" t="s">
        <v>199</v>
      </c>
      <c r="J366" t="s">
        <v>757</v>
      </c>
      <c r="K366" t="s">
        <v>201</v>
      </c>
      <c r="L366" t="s">
        <v>212</v>
      </c>
      <c r="Q366" t="s">
        <v>212</v>
      </c>
      <c r="R366" t="str">
        <f>"КАЗАХСТАН, АКМОЛИНСКАЯ, СТЕПНОГОРСК, 11, 76"</f>
        <v>КАЗАХСТАН, АКМОЛИНСКАЯ, СТЕПНОГОРСК, 11, 76</v>
      </c>
      <c r="S366" t="str">
        <f>"ҚАЗАҚСТАН, АҚМОЛА, СТЕПНОГОР, 11, 76"</f>
        <v>ҚАЗАҚСТАН, АҚМОЛА, СТЕПНОГОР, 11, 76</v>
      </c>
      <c r="T366" t="str">
        <f>"11, 76"</f>
        <v>11, 76</v>
      </c>
      <c r="U366" t="str">
        <f>"11, 76"</f>
        <v>11, 76</v>
      </c>
      <c r="AC366" t="str">
        <f>"2019-08-29T00:00:00"</f>
        <v>2019-08-29T00:00:00</v>
      </c>
      <c r="AD366" t="str">
        <f>"1"</f>
        <v>1</v>
      </c>
      <c r="AG366" t="s">
        <v>202</v>
      </c>
      <c r="AI366" t="s">
        <v>274</v>
      </c>
      <c r="AJ366" t="s">
        <v>419</v>
      </c>
      <c r="AK366" t="s">
        <v>434</v>
      </c>
      <c r="AL366" t="s">
        <v>206</v>
      </c>
      <c r="AN366" t="s">
        <v>254</v>
      </c>
      <c r="AO366">
        <v>1</v>
      </c>
      <c r="AP366" t="s">
        <v>208</v>
      </c>
      <c r="AQ366" t="s">
        <v>209</v>
      </c>
      <c r="AR366" t="s">
        <v>210</v>
      </c>
      <c r="AW366" t="s">
        <v>206</v>
      </c>
      <c r="AX366" t="s">
        <v>211</v>
      </c>
      <c r="AZ366" t="s">
        <v>209</v>
      </c>
      <c r="BI366" t="s">
        <v>212</v>
      </c>
      <c r="BJ366" t="s">
        <v>213</v>
      </c>
      <c r="BK366" t="s">
        <v>214</v>
      </c>
      <c r="BL366" t="s">
        <v>215</v>
      </c>
      <c r="BN366" t="s">
        <v>281</v>
      </c>
      <c r="BO366" t="s">
        <v>209</v>
      </c>
      <c r="BP366" t="s">
        <v>241</v>
      </c>
      <c r="BQ366">
        <v>5</v>
      </c>
      <c r="BS366" t="s">
        <v>219</v>
      </c>
      <c r="BT366" t="s">
        <v>220</v>
      </c>
      <c r="BU366" t="s">
        <v>206</v>
      </c>
      <c r="BX366" t="s">
        <v>221</v>
      </c>
      <c r="BY366" t="s">
        <v>221</v>
      </c>
      <c r="CA366" t="s">
        <v>287</v>
      </c>
      <c r="CC366" t="s">
        <v>222</v>
      </c>
      <c r="CD366" t="s">
        <v>223</v>
      </c>
      <c r="CE366" t="s">
        <v>242</v>
      </c>
      <c r="CJ366" t="s">
        <v>206</v>
      </c>
      <c r="CK366" t="s">
        <v>230</v>
      </c>
      <c r="CL366" t="s">
        <v>231</v>
      </c>
      <c r="CM366" t="s">
        <v>232</v>
      </c>
      <c r="CN366" t="s">
        <v>233</v>
      </c>
      <c r="CP366" t="s">
        <v>212</v>
      </c>
      <c r="CQ366" t="s">
        <v>212</v>
      </c>
      <c r="CR366" t="s">
        <v>212</v>
      </c>
      <c r="CS366" t="s">
        <v>212</v>
      </c>
      <c r="CY366" t="s">
        <v>212</v>
      </c>
      <c r="DB366" t="s">
        <v>234</v>
      </c>
      <c r="DE366" t="s">
        <v>212</v>
      </c>
      <c r="DF366" t="s">
        <v>212</v>
      </c>
      <c r="DG366" t="s">
        <v>235</v>
      </c>
      <c r="DH366" t="s">
        <v>212</v>
      </c>
      <c r="DJ366" t="s">
        <v>236</v>
      </c>
      <c r="DM366" t="s">
        <v>212</v>
      </c>
    </row>
    <row r="367" spans="1:117" x14ac:dyDescent="0.3">
      <c r="A367">
        <v>25513678</v>
      </c>
      <c r="B367">
        <v>319113</v>
      </c>
      <c r="C367" t="str">
        <f>"080326554128"</f>
        <v>080326554128</v>
      </c>
      <c r="D367" t="s">
        <v>1227</v>
      </c>
      <c r="E367" t="s">
        <v>954</v>
      </c>
      <c r="F367" t="s">
        <v>1228</v>
      </c>
      <c r="G367" s="1">
        <v>39533</v>
      </c>
      <c r="I367" t="s">
        <v>240</v>
      </c>
      <c r="J367" t="s">
        <v>200</v>
      </c>
      <c r="K367" t="s">
        <v>201</v>
      </c>
      <c r="Q367" t="s">
        <v>212</v>
      </c>
      <c r="R367" t="str">
        <f>"КАЗАХСТАН, АКМОЛИНСКАЯ, СТЕПНОГОРСК, 38, 15"</f>
        <v>КАЗАХСТАН, АКМОЛИНСКАЯ, СТЕПНОГОРСК, 38, 15</v>
      </c>
      <c r="S367" t="str">
        <f>"ҚАЗАҚСТАН, АҚМОЛА, СТЕПНОГОР, 38, 15"</f>
        <v>ҚАЗАҚСТАН, АҚМОЛА, СТЕПНОГОР, 38, 15</v>
      </c>
      <c r="T367" t="str">
        <f>"38, 15"</f>
        <v>38, 15</v>
      </c>
      <c r="U367" t="str">
        <f>"38, 15"</f>
        <v>38, 15</v>
      </c>
      <c r="AC367" t="str">
        <f>"2023-08-25T00:00:00"</f>
        <v>2023-08-25T00:00:00</v>
      </c>
      <c r="AD367" t="str">
        <f>"200"</f>
        <v>200</v>
      </c>
      <c r="AG367" t="s">
        <v>202</v>
      </c>
      <c r="AH367" t="str">
        <f>"ckool007@mail.ru"</f>
        <v>ckool007@mail.ru</v>
      </c>
      <c r="AI367" t="s">
        <v>203</v>
      </c>
      <c r="AJ367" t="s">
        <v>1157</v>
      </c>
      <c r="AK367" t="s">
        <v>205</v>
      </c>
      <c r="AL367" t="s">
        <v>206</v>
      </c>
      <c r="AN367" t="s">
        <v>207</v>
      </c>
      <c r="AO367">
        <v>1</v>
      </c>
      <c r="AP367" t="s">
        <v>208</v>
      </c>
      <c r="AQ367" t="s">
        <v>209</v>
      </c>
      <c r="AR367" t="s">
        <v>210</v>
      </c>
      <c r="AW367" t="s">
        <v>206</v>
      </c>
      <c r="AX367" t="s">
        <v>211</v>
      </c>
      <c r="AZ367" t="s">
        <v>209</v>
      </c>
      <c r="BI367" t="s">
        <v>212</v>
      </c>
      <c r="BJ367" t="s">
        <v>213</v>
      </c>
      <c r="BK367" t="s">
        <v>214</v>
      </c>
      <c r="BL367" t="s">
        <v>215</v>
      </c>
      <c r="BN367" t="s">
        <v>247</v>
      </c>
      <c r="BO367" t="s">
        <v>209</v>
      </c>
      <c r="BP367" t="s">
        <v>217</v>
      </c>
      <c r="BQ367" t="s">
        <v>270</v>
      </c>
      <c r="BS367" t="s">
        <v>219</v>
      </c>
      <c r="BT367" t="s">
        <v>220</v>
      </c>
      <c r="BU367" t="s">
        <v>206</v>
      </c>
      <c r="BX367" t="s">
        <v>221</v>
      </c>
      <c r="BY367" t="s">
        <v>221</v>
      </c>
      <c r="CA367" t="s">
        <v>222</v>
      </c>
      <c r="CB367" t="s">
        <v>223</v>
      </c>
      <c r="CC367" t="s">
        <v>222</v>
      </c>
      <c r="CD367" t="s">
        <v>223</v>
      </c>
      <c r="CE367" t="s">
        <v>242</v>
      </c>
      <c r="CJ367" t="s">
        <v>206</v>
      </c>
      <c r="CK367" t="s">
        <v>291</v>
      </c>
      <c r="CM367" t="s">
        <v>292</v>
      </c>
      <c r="CN367" t="s">
        <v>233</v>
      </c>
      <c r="CP367" t="s">
        <v>212</v>
      </c>
      <c r="CQ367" t="s">
        <v>212</v>
      </c>
      <c r="CR367" t="s">
        <v>212</v>
      </c>
      <c r="CS367" t="s">
        <v>212</v>
      </c>
      <c r="CY367" t="s">
        <v>212</v>
      </c>
      <c r="DB367" t="s">
        <v>234</v>
      </c>
      <c r="DE367" t="s">
        <v>212</v>
      </c>
      <c r="DF367" t="s">
        <v>212</v>
      </c>
      <c r="DG367" t="s">
        <v>235</v>
      </c>
      <c r="DH367" t="s">
        <v>212</v>
      </c>
      <c r="DJ367" t="s">
        <v>236</v>
      </c>
      <c r="DM367" t="s">
        <v>212</v>
      </c>
    </row>
    <row r="368" spans="1:117" x14ac:dyDescent="0.3">
      <c r="A368">
        <v>13138256</v>
      </c>
      <c r="B368">
        <v>839002</v>
      </c>
      <c r="C368" t="str">
        <f>"130601605013"</f>
        <v>130601605013</v>
      </c>
      <c r="D368" t="s">
        <v>1229</v>
      </c>
      <c r="E368" t="s">
        <v>1230</v>
      </c>
      <c r="F368" t="s">
        <v>414</v>
      </c>
      <c r="G368" s="1">
        <v>41426</v>
      </c>
      <c r="I368" t="s">
        <v>199</v>
      </c>
      <c r="J368" t="s">
        <v>200</v>
      </c>
      <c r="K368" t="s">
        <v>260</v>
      </c>
      <c r="Q368" t="s">
        <v>212</v>
      </c>
      <c r="R368" t="str">
        <f>"КАЗАХСТАН, АКМОЛИНСКАЯ, СТЕПНОГОРСК, СТЕПНОГОРСК, 36, 30"</f>
        <v>КАЗАХСТАН, АКМОЛИНСКАЯ, СТЕПНОГОРСК, СТЕПНОГОРСК, 36, 30</v>
      </c>
      <c r="S368" t="str">
        <f>"ҚАЗАҚСТАН, АҚМОЛА, СТЕПНОГОР, СТЕПНОГОРСК, 36, 30"</f>
        <v>ҚАЗАҚСТАН, АҚМОЛА, СТЕПНОГОР, СТЕПНОГОРСК, 36, 30</v>
      </c>
      <c r="T368" t="str">
        <f>"СТЕПНОГОРСК, 36, 30"</f>
        <v>СТЕПНОГОРСК, 36, 30</v>
      </c>
      <c r="U368" t="str">
        <f>"СТЕПНОГОРСК, 36, 30"</f>
        <v>СТЕПНОГОРСК, 36, 30</v>
      </c>
      <c r="AC368" t="str">
        <f>"2019-08-29T00:00:00"</f>
        <v>2019-08-29T00:00:00</v>
      </c>
      <c r="AD368" t="str">
        <f>"1"</f>
        <v>1</v>
      </c>
      <c r="AG368" t="s">
        <v>202</v>
      </c>
      <c r="AI368" t="s">
        <v>274</v>
      </c>
      <c r="AJ368" t="s">
        <v>419</v>
      </c>
      <c r="AK368" t="s">
        <v>261</v>
      </c>
      <c r="AL368" t="s">
        <v>206</v>
      </c>
      <c r="AN368" t="s">
        <v>207</v>
      </c>
      <c r="AO368">
        <v>1</v>
      </c>
      <c r="AP368" t="s">
        <v>208</v>
      </c>
      <c r="AQ368" t="s">
        <v>209</v>
      </c>
      <c r="AR368" t="s">
        <v>210</v>
      </c>
      <c r="AW368" t="s">
        <v>206</v>
      </c>
      <c r="AX368" t="s">
        <v>211</v>
      </c>
      <c r="AZ368" t="s">
        <v>209</v>
      </c>
      <c r="BI368" t="s">
        <v>212</v>
      </c>
      <c r="BJ368" t="s">
        <v>213</v>
      </c>
      <c r="BK368" t="s">
        <v>214</v>
      </c>
      <c r="BL368" t="s">
        <v>215</v>
      </c>
      <c r="BN368" t="s">
        <v>216</v>
      </c>
      <c r="BO368" t="s">
        <v>209</v>
      </c>
      <c r="BP368" t="s">
        <v>415</v>
      </c>
      <c r="BQ368" t="s">
        <v>673</v>
      </c>
      <c r="BS368" t="s">
        <v>219</v>
      </c>
      <c r="BT368" t="s">
        <v>220</v>
      </c>
      <c r="BU368" t="s">
        <v>206</v>
      </c>
      <c r="BX368" t="s">
        <v>221</v>
      </c>
      <c r="BY368" t="s">
        <v>221</v>
      </c>
      <c r="CA368" t="s">
        <v>287</v>
      </c>
      <c r="CC368" t="s">
        <v>222</v>
      </c>
      <c r="CD368" t="s">
        <v>223</v>
      </c>
      <c r="CE368" t="s">
        <v>242</v>
      </c>
      <c r="CJ368" t="s">
        <v>206</v>
      </c>
      <c r="CK368" t="s">
        <v>230</v>
      </c>
      <c r="CL368" t="s">
        <v>231</v>
      </c>
      <c r="CM368" t="s">
        <v>232</v>
      </c>
      <c r="CN368" t="s">
        <v>233</v>
      </c>
      <c r="CP368" t="s">
        <v>212</v>
      </c>
      <c r="CQ368" t="s">
        <v>212</v>
      </c>
      <c r="CR368" t="s">
        <v>212</v>
      </c>
      <c r="CS368" t="s">
        <v>212</v>
      </c>
      <c r="CY368" t="s">
        <v>212</v>
      </c>
      <c r="DB368" t="s">
        <v>234</v>
      </c>
      <c r="DE368" t="s">
        <v>212</v>
      </c>
      <c r="DF368" t="s">
        <v>212</v>
      </c>
      <c r="DG368" t="s">
        <v>235</v>
      </c>
      <c r="DH368" t="s">
        <v>212</v>
      </c>
      <c r="DJ368" t="s">
        <v>236</v>
      </c>
      <c r="DM368" t="s">
        <v>212</v>
      </c>
    </row>
    <row r="369" spans="1:117" x14ac:dyDescent="0.3">
      <c r="A369">
        <v>13138253</v>
      </c>
      <c r="B369">
        <v>838385</v>
      </c>
      <c r="C369" t="str">
        <f>"130809502589"</f>
        <v>130809502589</v>
      </c>
      <c r="D369" t="s">
        <v>1231</v>
      </c>
      <c r="E369" t="s">
        <v>1085</v>
      </c>
      <c r="F369" t="s">
        <v>645</v>
      </c>
      <c r="G369" s="1">
        <v>41495</v>
      </c>
      <c r="I369" t="s">
        <v>240</v>
      </c>
      <c r="J369" t="s">
        <v>200</v>
      </c>
      <c r="K369" t="s">
        <v>201</v>
      </c>
      <c r="Q369" t="s">
        <v>212</v>
      </c>
      <c r="R369" t="str">
        <f>"КАЗАХСТАН, АКМОЛИНСКАЯ, СТЕПНОГОРСК, 41, 101"</f>
        <v>КАЗАХСТАН, АКМОЛИНСКАЯ, СТЕПНОГОРСК, 41, 101</v>
      </c>
      <c r="S369" t="str">
        <f>"ҚАЗАҚСТАН, АҚМОЛА, СТЕПНОГОР, 41, 101"</f>
        <v>ҚАЗАҚСТАН, АҚМОЛА, СТЕПНОГОР, 41, 101</v>
      </c>
      <c r="T369" t="str">
        <f>"41, 101"</f>
        <v>41, 101</v>
      </c>
      <c r="U369" t="str">
        <f>"41, 101"</f>
        <v>41, 101</v>
      </c>
      <c r="AC369" t="str">
        <f>"2019-08-29T00:00:00"</f>
        <v>2019-08-29T00:00:00</v>
      </c>
      <c r="AD369" t="str">
        <f>"1"</f>
        <v>1</v>
      </c>
      <c r="AG369" t="s">
        <v>202</v>
      </c>
      <c r="AI369" t="s">
        <v>299</v>
      </c>
      <c r="AJ369" t="s">
        <v>419</v>
      </c>
      <c r="AK369" t="s">
        <v>246</v>
      </c>
      <c r="AL369" t="s">
        <v>206</v>
      </c>
      <c r="AN369" t="s">
        <v>207</v>
      </c>
      <c r="AO369">
        <v>1</v>
      </c>
      <c r="AP369" t="s">
        <v>208</v>
      </c>
      <c r="AQ369" t="s">
        <v>209</v>
      </c>
      <c r="AR369" t="s">
        <v>412</v>
      </c>
      <c r="AW369" t="s">
        <v>206</v>
      </c>
      <c r="AX369" t="s">
        <v>211</v>
      </c>
      <c r="AZ369" t="s">
        <v>209</v>
      </c>
      <c r="BI369" t="s">
        <v>212</v>
      </c>
      <c r="BJ369" t="s">
        <v>213</v>
      </c>
      <c r="BK369" t="s">
        <v>214</v>
      </c>
      <c r="BL369" t="s">
        <v>215</v>
      </c>
      <c r="BN369" t="s">
        <v>216</v>
      </c>
      <c r="BO369" t="s">
        <v>209</v>
      </c>
      <c r="BP369" t="s">
        <v>415</v>
      </c>
      <c r="BQ369" t="s">
        <v>673</v>
      </c>
      <c r="BS369" t="s">
        <v>219</v>
      </c>
      <c r="BT369" t="s">
        <v>220</v>
      </c>
      <c r="BU369" t="s">
        <v>206</v>
      </c>
      <c r="BX369" t="s">
        <v>221</v>
      </c>
      <c r="BY369" t="s">
        <v>221</v>
      </c>
      <c r="CA369" t="s">
        <v>287</v>
      </c>
      <c r="CC369" t="s">
        <v>301</v>
      </c>
      <c r="CD369" t="s">
        <v>223</v>
      </c>
      <c r="CE369" t="s">
        <v>242</v>
      </c>
      <c r="CJ369" t="s">
        <v>206</v>
      </c>
      <c r="CK369" t="s">
        <v>230</v>
      </c>
      <c r="CL369" t="s">
        <v>231</v>
      </c>
      <c r="CM369" t="s">
        <v>232</v>
      </c>
      <c r="CN369" t="s">
        <v>233</v>
      </c>
      <c r="CP369" t="s">
        <v>212</v>
      </c>
      <c r="CQ369" t="s">
        <v>212</v>
      </c>
      <c r="CR369" t="s">
        <v>212</v>
      </c>
      <c r="CS369" t="s">
        <v>212</v>
      </c>
      <c r="CY369" t="s">
        <v>212</v>
      </c>
      <c r="DB369" t="s">
        <v>234</v>
      </c>
      <c r="DE369" t="s">
        <v>212</v>
      </c>
      <c r="DF369" t="s">
        <v>212</v>
      </c>
      <c r="DG369" t="s">
        <v>235</v>
      </c>
      <c r="DH369" t="s">
        <v>212</v>
      </c>
      <c r="DJ369" t="s">
        <v>236</v>
      </c>
      <c r="DM369" t="s">
        <v>212</v>
      </c>
    </row>
    <row r="370" spans="1:117" x14ac:dyDescent="0.3">
      <c r="A370">
        <v>13138249</v>
      </c>
      <c r="B370">
        <v>760443</v>
      </c>
      <c r="C370" t="str">
        <f>"120806501720"</f>
        <v>120806501720</v>
      </c>
      <c r="D370" t="s">
        <v>1232</v>
      </c>
      <c r="E370" t="s">
        <v>860</v>
      </c>
      <c r="F370" t="s">
        <v>294</v>
      </c>
      <c r="G370" s="1">
        <v>41127</v>
      </c>
      <c r="I370" t="s">
        <v>240</v>
      </c>
      <c r="J370" t="s">
        <v>200</v>
      </c>
      <c r="K370" t="s">
        <v>260</v>
      </c>
      <c r="Q370" t="s">
        <v>212</v>
      </c>
      <c r="R370" t="str">
        <f>"КАЗАХСТАН, АКМОЛИНСКАЯ, СТЕПНОГОРСК, 22, 36"</f>
        <v>КАЗАХСТАН, АКМОЛИНСКАЯ, СТЕПНОГОРСК, 22, 36</v>
      </c>
      <c r="S370" t="str">
        <f>"ҚАЗАҚСТАН, АҚМОЛА, СТЕПНОГОР, 22, 36"</f>
        <v>ҚАЗАҚСТАН, АҚМОЛА, СТЕПНОГОР, 22, 36</v>
      </c>
      <c r="T370" t="str">
        <f>"22, 36"</f>
        <v>22, 36</v>
      </c>
      <c r="U370" t="str">
        <f>"22, 36"</f>
        <v>22, 36</v>
      </c>
      <c r="AC370" t="str">
        <f>"2019-08-29T00:00:00"</f>
        <v>2019-08-29T00:00:00</v>
      </c>
      <c r="AD370" t="str">
        <f>"1"</f>
        <v>1</v>
      </c>
      <c r="AG370" t="s">
        <v>202</v>
      </c>
      <c r="AI370" t="s">
        <v>203</v>
      </c>
      <c r="AJ370" t="s">
        <v>419</v>
      </c>
      <c r="AK370" t="s">
        <v>246</v>
      </c>
      <c r="AL370" t="s">
        <v>206</v>
      </c>
      <c r="AN370" t="s">
        <v>207</v>
      </c>
      <c r="AO370">
        <v>1</v>
      </c>
      <c r="AP370" t="s">
        <v>208</v>
      </c>
      <c r="AQ370" t="s">
        <v>209</v>
      </c>
      <c r="AR370" t="s">
        <v>210</v>
      </c>
      <c r="AW370" t="s">
        <v>206</v>
      </c>
      <c r="AX370" t="s">
        <v>211</v>
      </c>
      <c r="AZ370" t="s">
        <v>209</v>
      </c>
      <c r="BI370" t="s">
        <v>212</v>
      </c>
      <c r="BJ370" t="s">
        <v>213</v>
      </c>
      <c r="BK370" t="s">
        <v>214</v>
      </c>
      <c r="BL370" t="s">
        <v>215</v>
      </c>
      <c r="BN370" t="s">
        <v>216</v>
      </c>
      <c r="BO370" t="s">
        <v>209</v>
      </c>
      <c r="BP370" t="s">
        <v>241</v>
      </c>
      <c r="BQ370">
        <v>4</v>
      </c>
      <c r="BS370" t="s">
        <v>219</v>
      </c>
      <c r="BT370" t="s">
        <v>220</v>
      </c>
      <c r="BU370" t="s">
        <v>206</v>
      </c>
      <c r="BX370" t="s">
        <v>221</v>
      </c>
      <c r="BY370" t="s">
        <v>221</v>
      </c>
      <c r="CA370" t="s">
        <v>287</v>
      </c>
      <c r="CC370" t="s">
        <v>222</v>
      </c>
      <c r="CD370" t="s">
        <v>223</v>
      </c>
      <c r="CE370" t="s">
        <v>242</v>
      </c>
      <c r="CJ370" t="s">
        <v>206</v>
      </c>
      <c r="CK370" t="s">
        <v>230</v>
      </c>
      <c r="CL370" t="s">
        <v>231</v>
      </c>
      <c r="CM370" t="s">
        <v>232</v>
      </c>
      <c r="CN370" t="s">
        <v>233</v>
      </c>
      <c r="CP370" t="s">
        <v>212</v>
      </c>
      <c r="CQ370" t="s">
        <v>212</v>
      </c>
      <c r="CR370" t="s">
        <v>212</v>
      </c>
      <c r="CS370" t="s">
        <v>212</v>
      </c>
      <c r="CY370" t="s">
        <v>212</v>
      </c>
      <c r="DB370" t="s">
        <v>234</v>
      </c>
      <c r="DE370" t="s">
        <v>212</v>
      </c>
      <c r="DF370" t="s">
        <v>206</v>
      </c>
      <c r="DG370" t="s">
        <v>235</v>
      </c>
      <c r="DH370" t="s">
        <v>212</v>
      </c>
      <c r="DJ370" t="s">
        <v>236</v>
      </c>
      <c r="DM370" t="s">
        <v>212</v>
      </c>
    </row>
    <row r="371" spans="1:117" x14ac:dyDescent="0.3">
      <c r="A371">
        <v>25513710</v>
      </c>
      <c r="B371">
        <v>345118</v>
      </c>
      <c r="C371" t="str">
        <f>"070609551596"</f>
        <v>070609551596</v>
      </c>
      <c r="D371" t="s">
        <v>1233</v>
      </c>
      <c r="E371" t="s">
        <v>538</v>
      </c>
      <c r="F371" t="s">
        <v>558</v>
      </c>
      <c r="G371" s="1">
        <v>39242</v>
      </c>
      <c r="I371" t="s">
        <v>240</v>
      </c>
      <c r="J371" t="s">
        <v>200</v>
      </c>
      <c r="K371" t="s">
        <v>260</v>
      </c>
      <c r="Q371" t="s">
        <v>212</v>
      </c>
      <c r="R371" t="str">
        <f>"КАЗАХСТАН, АКМОЛИНСКАЯ, СТЕПНОГОРСК, 26, 23"</f>
        <v>КАЗАХСТАН, АКМОЛИНСКАЯ, СТЕПНОГОРСК, 26, 23</v>
      </c>
      <c r="S371" t="str">
        <f>"ҚАЗАҚСТАН, АҚМОЛА, СТЕПНОГОР, 26, 23"</f>
        <v>ҚАЗАҚСТАН, АҚМОЛА, СТЕПНОГОР, 26, 23</v>
      </c>
      <c r="T371" t="str">
        <f>"26, 23"</f>
        <v>26, 23</v>
      </c>
      <c r="U371" t="str">
        <f>"26, 23"</f>
        <v>26, 23</v>
      </c>
      <c r="AC371" t="str">
        <f>"2023-08-25T00:00:00"</f>
        <v>2023-08-25T00:00:00</v>
      </c>
      <c r="AD371" t="str">
        <f>"200"</f>
        <v>200</v>
      </c>
      <c r="AE371" t="str">
        <f>"2023-09-01T08:28:09"</f>
        <v>2023-09-01T08:28:09</v>
      </c>
      <c r="AF371" t="str">
        <f>"2024-05-25T08:28:09"</f>
        <v>2024-05-25T08:28:09</v>
      </c>
      <c r="AG371" t="s">
        <v>202</v>
      </c>
      <c r="AH371" t="str">
        <f>"step_myschool8@mail.ru"</f>
        <v>step_myschool8@mail.ru</v>
      </c>
      <c r="AI371" t="s">
        <v>203</v>
      </c>
      <c r="AJ371" t="s">
        <v>1157</v>
      </c>
      <c r="AK371" t="s">
        <v>205</v>
      </c>
      <c r="AL371" t="s">
        <v>206</v>
      </c>
      <c r="AN371" t="s">
        <v>207</v>
      </c>
      <c r="AO371">
        <v>1</v>
      </c>
      <c r="AP371" t="s">
        <v>208</v>
      </c>
      <c r="AQ371" t="s">
        <v>209</v>
      </c>
      <c r="AR371" t="s">
        <v>210</v>
      </c>
      <c r="AW371" t="s">
        <v>206</v>
      </c>
      <c r="AX371" t="s">
        <v>211</v>
      </c>
      <c r="AZ371" t="s">
        <v>209</v>
      </c>
      <c r="BI371" t="s">
        <v>212</v>
      </c>
      <c r="BJ371" t="s">
        <v>213</v>
      </c>
      <c r="BK371" t="s">
        <v>214</v>
      </c>
      <c r="BL371" t="s">
        <v>215</v>
      </c>
      <c r="BN371" t="s">
        <v>247</v>
      </c>
      <c r="BO371" t="s">
        <v>209</v>
      </c>
      <c r="BP371" t="s">
        <v>217</v>
      </c>
      <c r="BQ371" t="s">
        <v>248</v>
      </c>
      <c r="BS371" t="s">
        <v>219</v>
      </c>
      <c r="BT371" t="s">
        <v>220</v>
      </c>
      <c r="BU371" t="s">
        <v>206</v>
      </c>
      <c r="CA371" t="s">
        <v>287</v>
      </c>
      <c r="CC371" t="s">
        <v>209</v>
      </c>
      <c r="CE371" t="s">
        <v>242</v>
      </c>
      <c r="CJ371" t="s">
        <v>206</v>
      </c>
      <c r="CK371" t="s">
        <v>291</v>
      </c>
      <c r="CM371" t="s">
        <v>292</v>
      </c>
      <c r="CN371" t="s">
        <v>233</v>
      </c>
      <c r="CP371" t="s">
        <v>212</v>
      </c>
      <c r="CQ371" t="s">
        <v>212</v>
      </c>
      <c r="CR371" t="s">
        <v>212</v>
      </c>
      <c r="CS371" t="s">
        <v>212</v>
      </c>
      <c r="CY371" t="s">
        <v>212</v>
      </c>
      <c r="DB371" t="s">
        <v>234</v>
      </c>
      <c r="DE371" t="s">
        <v>212</v>
      </c>
      <c r="DF371" t="s">
        <v>212</v>
      </c>
      <c r="DG371" t="s">
        <v>235</v>
      </c>
      <c r="DH371" t="s">
        <v>212</v>
      </c>
      <c r="DJ371" t="s">
        <v>236</v>
      </c>
      <c r="DM371" t="s">
        <v>212</v>
      </c>
    </row>
    <row r="372" spans="1:117" x14ac:dyDescent="0.3">
      <c r="A372">
        <v>13138235</v>
      </c>
      <c r="B372">
        <v>840380</v>
      </c>
      <c r="C372" t="str">
        <f>"130611603884"</f>
        <v>130611603884</v>
      </c>
      <c r="D372" t="s">
        <v>1234</v>
      </c>
      <c r="E372" t="s">
        <v>513</v>
      </c>
      <c r="F372" t="s">
        <v>1235</v>
      </c>
      <c r="G372" s="1">
        <v>41436</v>
      </c>
      <c r="I372" t="s">
        <v>199</v>
      </c>
      <c r="J372" t="s">
        <v>200</v>
      </c>
      <c r="K372" t="s">
        <v>369</v>
      </c>
      <c r="Q372" t="s">
        <v>212</v>
      </c>
      <c r="R372" t="str">
        <f>"КАЗАХСТАН, АКМОЛИНСКАЯ, СТЕПНОГОРСК, 15, 16"</f>
        <v>КАЗАХСТАН, АКМОЛИНСКАЯ, СТЕПНОГОРСК, 15, 16</v>
      </c>
      <c r="S372" t="str">
        <f>"ҚАЗАҚСТАН, АҚМОЛА, СТЕПНОГОР, 15, 16"</f>
        <v>ҚАЗАҚСТАН, АҚМОЛА, СТЕПНОГОР, 15, 16</v>
      </c>
      <c r="T372" t="str">
        <f>"15, 16"</f>
        <v>15, 16</v>
      </c>
      <c r="U372" t="str">
        <f>"15, 16"</f>
        <v>15, 16</v>
      </c>
      <c r="AC372" t="str">
        <f>"2019-08-29T00:00:00"</f>
        <v>2019-08-29T00:00:00</v>
      </c>
      <c r="AD372" t="str">
        <f>"1"</f>
        <v>1</v>
      </c>
      <c r="AE372" t="str">
        <f>"2023-09-01T00:05:22"</f>
        <v>2023-09-01T00:05:22</v>
      </c>
      <c r="AF372" t="str">
        <f>"2024-05-25T00:05:22"</f>
        <v>2024-05-25T00:05:22</v>
      </c>
      <c r="AG372" t="s">
        <v>202</v>
      </c>
      <c r="AI372" t="s">
        <v>299</v>
      </c>
      <c r="AJ372" t="s">
        <v>419</v>
      </c>
      <c r="AK372" t="s">
        <v>246</v>
      </c>
      <c r="AL372" t="s">
        <v>206</v>
      </c>
      <c r="AN372" t="s">
        <v>207</v>
      </c>
      <c r="AO372">
        <v>1</v>
      </c>
      <c r="AP372" t="s">
        <v>208</v>
      </c>
      <c r="AQ372" t="s">
        <v>209</v>
      </c>
      <c r="AR372" t="s">
        <v>307</v>
      </c>
      <c r="AW372" t="s">
        <v>206</v>
      </c>
      <c r="AX372" t="s">
        <v>211</v>
      </c>
      <c r="AZ372" t="s">
        <v>209</v>
      </c>
      <c r="BI372" t="s">
        <v>212</v>
      </c>
      <c r="BJ372" t="s">
        <v>213</v>
      </c>
      <c r="BK372" t="s">
        <v>214</v>
      </c>
      <c r="BL372" t="s">
        <v>215</v>
      </c>
      <c r="BN372" t="s">
        <v>247</v>
      </c>
      <c r="BO372" t="s">
        <v>209</v>
      </c>
      <c r="BP372" t="s">
        <v>415</v>
      </c>
      <c r="BQ372" t="s">
        <v>1130</v>
      </c>
      <c r="BS372" t="s">
        <v>219</v>
      </c>
      <c r="BT372" t="s">
        <v>220</v>
      </c>
      <c r="BU372" t="s">
        <v>206</v>
      </c>
      <c r="BX372" t="s">
        <v>234</v>
      </c>
      <c r="BY372" t="s">
        <v>234</v>
      </c>
      <c r="CA372" t="s">
        <v>287</v>
      </c>
      <c r="CC372" t="s">
        <v>222</v>
      </c>
      <c r="CD372" t="s">
        <v>223</v>
      </c>
      <c r="CE372" t="s">
        <v>242</v>
      </c>
      <c r="CJ372" t="s">
        <v>206</v>
      </c>
      <c r="CK372" t="s">
        <v>230</v>
      </c>
      <c r="CL372" t="s">
        <v>231</v>
      </c>
      <c r="CM372" t="s">
        <v>232</v>
      </c>
      <c r="CN372" t="s">
        <v>233</v>
      </c>
      <c r="CP372" t="s">
        <v>212</v>
      </c>
      <c r="CQ372" t="s">
        <v>212</v>
      </c>
      <c r="CR372" t="s">
        <v>212</v>
      </c>
      <c r="CS372" t="s">
        <v>212</v>
      </c>
      <c r="CY372" t="s">
        <v>212</v>
      </c>
      <c r="DB372" t="s">
        <v>234</v>
      </c>
      <c r="DE372" t="s">
        <v>212</v>
      </c>
      <c r="DF372" t="s">
        <v>212</v>
      </c>
      <c r="DG372" t="s">
        <v>235</v>
      </c>
      <c r="DH372" t="s">
        <v>212</v>
      </c>
      <c r="DJ372" t="s">
        <v>236</v>
      </c>
      <c r="DM372" t="s">
        <v>212</v>
      </c>
    </row>
    <row r="373" spans="1:117" x14ac:dyDescent="0.3">
      <c r="A373">
        <v>25513776</v>
      </c>
      <c r="B373">
        <v>309851</v>
      </c>
      <c r="C373" t="str">
        <f>"070813650246"</f>
        <v>070813650246</v>
      </c>
      <c r="D373" t="s">
        <v>1236</v>
      </c>
      <c r="E373" t="s">
        <v>1237</v>
      </c>
      <c r="F373" t="s">
        <v>400</v>
      </c>
      <c r="G373" s="1">
        <v>39307</v>
      </c>
      <c r="I373" t="s">
        <v>199</v>
      </c>
      <c r="J373" t="s">
        <v>200</v>
      </c>
      <c r="K373" t="s">
        <v>260</v>
      </c>
      <c r="Q373" t="s">
        <v>212</v>
      </c>
      <c r="R373" t="str">
        <f>"КАЗАХСТАН, АКМОЛИНСКАЯ, СТЕПНОГОРСК, 37, 16"</f>
        <v>КАЗАХСТАН, АКМОЛИНСКАЯ, СТЕПНОГОРСК, 37, 16</v>
      </c>
      <c r="S373" t="str">
        <f>"ҚАЗАҚСТАН, АҚМОЛА, СТЕПНОГОР, 37, 16"</f>
        <v>ҚАЗАҚСТАН, АҚМОЛА, СТЕПНОГОР, 37, 16</v>
      </c>
      <c r="T373" t="str">
        <f>"37, 16"</f>
        <v>37, 16</v>
      </c>
      <c r="U373" t="str">
        <f>"37, 16"</f>
        <v>37, 16</v>
      </c>
      <c r="AC373" t="str">
        <f>"2023-08-25T00:00:00"</f>
        <v>2023-08-25T00:00:00</v>
      </c>
      <c r="AD373" t="str">
        <f>"200"</f>
        <v>200</v>
      </c>
      <c r="AE373" t="str">
        <f>"2023-09-01T16:05:19"</f>
        <v>2023-09-01T16:05:19</v>
      </c>
      <c r="AF373" t="str">
        <f>"2024-05-25T16:05:19"</f>
        <v>2024-05-25T16:05:19</v>
      </c>
      <c r="AG373" t="s">
        <v>333</v>
      </c>
      <c r="AH373" t="str">
        <f>"int_school@list.ru"</f>
        <v>int_school@list.ru</v>
      </c>
      <c r="AI373" t="s">
        <v>203</v>
      </c>
      <c r="AJ373" t="s">
        <v>1157</v>
      </c>
      <c r="AK373" t="s">
        <v>205</v>
      </c>
      <c r="AL373" t="s">
        <v>206</v>
      </c>
      <c r="AN373" t="s">
        <v>207</v>
      </c>
      <c r="AO373">
        <v>1</v>
      </c>
      <c r="AP373" t="s">
        <v>208</v>
      </c>
      <c r="AQ373" t="s">
        <v>209</v>
      </c>
      <c r="AR373" t="s">
        <v>210</v>
      </c>
      <c r="AW373" t="s">
        <v>206</v>
      </c>
      <c r="AX373" t="s">
        <v>211</v>
      </c>
      <c r="AZ373" t="s">
        <v>209</v>
      </c>
      <c r="BI373" t="s">
        <v>212</v>
      </c>
      <c r="BJ373" t="s">
        <v>213</v>
      </c>
      <c r="BK373" t="s">
        <v>214</v>
      </c>
      <c r="BL373" t="s">
        <v>215</v>
      </c>
      <c r="BN373" t="s">
        <v>247</v>
      </c>
      <c r="BO373" t="s">
        <v>209</v>
      </c>
      <c r="BP373" t="s">
        <v>217</v>
      </c>
      <c r="BQ373" t="s">
        <v>1238</v>
      </c>
      <c r="BS373" t="s">
        <v>219</v>
      </c>
      <c r="BT373" t="s">
        <v>220</v>
      </c>
      <c r="BU373" t="s">
        <v>206</v>
      </c>
      <c r="CA373" t="s">
        <v>287</v>
      </c>
      <c r="CC373" t="s">
        <v>209</v>
      </c>
      <c r="CE373" t="s">
        <v>242</v>
      </c>
      <c r="CJ373" t="s">
        <v>206</v>
      </c>
      <c r="CK373" t="s">
        <v>291</v>
      </c>
      <c r="CM373" t="s">
        <v>292</v>
      </c>
      <c r="CN373" t="s">
        <v>233</v>
      </c>
      <c r="CP373" t="s">
        <v>212</v>
      </c>
      <c r="CQ373" t="s">
        <v>212</v>
      </c>
      <c r="CR373" t="s">
        <v>212</v>
      </c>
      <c r="CS373" t="s">
        <v>212</v>
      </c>
      <c r="CY373" t="s">
        <v>212</v>
      </c>
      <c r="DB373" t="s">
        <v>234</v>
      </c>
      <c r="DE373" t="s">
        <v>212</v>
      </c>
      <c r="DF373" t="s">
        <v>212</v>
      </c>
      <c r="DG373" t="s">
        <v>235</v>
      </c>
      <c r="DH373" t="s">
        <v>212</v>
      </c>
      <c r="DJ373" t="s">
        <v>236</v>
      </c>
      <c r="DM373" t="s">
        <v>212</v>
      </c>
    </row>
    <row r="374" spans="1:117" x14ac:dyDescent="0.3">
      <c r="A374">
        <v>25513917</v>
      </c>
      <c r="B374">
        <v>308169</v>
      </c>
      <c r="C374" t="str">
        <f>"070713551849"</f>
        <v>070713551849</v>
      </c>
      <c r="D374" t="s">
        <v>1239</v>
      </c>
      <c r="E374" t="s">
        <v>1240</v>
      </c>
      <c r="F374" t="s">
        <v>1241</v>
      </c>
      <c r="G374" s="1">
        <v>39276</v>
      </c>
      <c r="I374" t="s">
        <v>240</v>
      </c>
      <c r="J374" t="s">
        <v>200</v>
      </c>
      <c r="K374" t="s">
        <v>201</v>
      </c>
      <c r="Q374" t="s">
        <v>212</v>
      </c>
      <c r="R374" t="str">
        <f>"КАЗАХСТАН, АКМОЛИНСКАЯ, СТЕПНОГОРСК, 27, 28"</f>
        <v>КАЗАХСТАН, АКМОЛИНСКАЯ, СТЕПНОГОРСК, 27, 28</v>
      </c>
      <c r="S374" t="str">
        <f>"ҚАЗАҚСТАН, АҚМОЛА, СТЕПНОГОР, 27, 28"</f>
        <v>ҚАЗАҚСТАН, АҚМОЛА, СТЕПНОГОР, 27, 28</v>
      </c>
      <c r="T374" t="str">
        <f>"27, 28"</f>
        <v>27, 28</v>
      </c>
      <c r="U374" t="str">
        <f>"27, 28"</f>
        <v>27, 28</v>
      </c>
      <c r="AC374" t="str">
        <f>"2023-08-25T00:00:00"</f>
        <v>2023-08-25T00:00:00</v>
      </c>
      <c r="AD374" t="str">
        <f>"200"</f>
        <v>200</v>
      </c>
      <c r="AG374" t="s">
        <v>202</v>
      </c>
      <c r="AH374" t="str">
        <f>"ckool007@mail.ru"</f>
        <v>ckool007@mail.ru</v>
      </c>
      <c r="AI374" t="s">
        <v>274</v>
      </c>
      <c r="AJ374" t="s">
        <v>1157</v>
      </c>
      <c r="AK374" t="s">
        <v>205</v>
      </c>
      <c r="AL374" t="s">
        <v>206</v>
      </c>
      <c r="AN374" t="s">
        <v>207</v>
      </c>
      <c r="AO374">
        <v>1</v>
      </c>
      <c r="AP374" t="s">
        <v>208</v>
      </c>
      <c r="AQ374" t="s">
        <v>209</v>
      </c>
      <c r="AR374" t="s">
        <v>210</v>
      </c>
      <c r="AW374" t="s">
        <v>206</v>
      </c>
      <c r="AX374" t="s">
        <v>211</v>
      </c>
      <c r="AZ374" t="s">
        <v>209</v>
      </c>
      <c r="BI374" t="s">
        <v>212</v>
      </c>
      <c r="BJ374" t="s">
        <v>213</v>
      </c>
      <c r="BK374" t="s">
        <v>214</v>
      </c>
      <c r="BL374" t="s">
        <v>215</v>
      </c>
      <c r="BN374" t="s">
        <v>216</v>
      </c>
      <c r="BO374" t="s">
        <v>209</v>
      </c>
      <c r="BP374" t="s">
        <v>217</v>
      </c>
      <c r="BQ374" t="s">
        <v>218</v>
      </c>
      <c r="BS374" t="s">
        <v>219</v>
      </c>
      <c r="BT374" t="s">
        <v>220</v>
      </c>
      <c r="BU374" t="s">
        <v>206</v>
      </c>
      <c r="CA374" t="s">
        <v>287</v>
      </c>
      <c r="CC374" t="s">
        <v>209</v>
      </c>
      <c r="CE374" t="s">
        <v>242</v>
      </c>
      <c r="CJ374" t="s">
        <v>206</v>
      </c>
      <c r="CK374" t="s">
        <v>291</v>
      </c>
      <c r="CM374" t="s">
        <v>292</v>
      </c>
      <c r="CN374" t="s">
        <v>233</v>
      </c>
      <c r="CP374" t="s">
        <v>212</v>
      </c>
      <c r="CQ374" t="s">
        <v>212</v>
      </c>
      <c r="CR374" t="s">
        <v>212</v>
      </c>
      <c r="CS374" t="s">
        <v>212</v>
      </c>
      <c r="CY374" t="s">
        <v>212</v>
      </c>
      <c r="DB374" t="s">
        <v>234</v>
      </c>
      <c r="DE374" t="s">
        <v>212</v>
      </c>
      <c r="DF374" t="s">
        <v>212</v>
      </c>
      <c r="DG374" t="s">
        <v>235</v>
      </c>
      <c r="DH374" t="s">
        <v>212</v>
      </c>
      <c r="DJ374" t="s">
        <v>236</v>
      </c>
      <c r="DM374" t="s">
        <v>212</v>
      </c>
    </row>
    <row r="375" spans="1:117" x14ac:dyDescent="0.3">
      <c r="A375">
        <v>13138225</v>
      </c>
      <c r="B375">
        <v>862646</v>
      </c>
      <c r="C375" t="str">
        <f>"130318501978"</f>
        <v>130318501978</v>
      </c>
      <c r="D375" t="s">
        <v>1242</v>
      </c>
      <c r="E375" t="s">
        <v>552</v>
      </c>
      <c r="F375" t="s">
        <v>1243</v>
      </c>
      <c r="G375" s="1">
        <v>41351</v>
      </c>
      <c r="I375" t="s">
        <v>240</v>
      </c>
      <c r="J375" t="s">
        <v>200</v>
      </c>
      <c r="K375" t="s">
        <v>201</v>
      </c>
      <c r="Q375" t="s">
        <v>212</v>
      </c>
      <c r="R375" t="str">
        <f>"КАЗАХСТАН, АКМОЛИНСКАЯ, СТЕПНОГОРСК, 157"</f>
        <v>КАЗАХСТАН, АКМОЛИНСКАЯ, СТЕПНОГОРСК, 157</v>
      </c>
      <c r="S375" t="str">
        <f>"ҚАЗАҚСТАН, АҚМОЛА, СТЕПНОГОР, 157"</f>
        <v>ҚАЗАҚСТАН, АҚМОЛА, СТЕПНОГОР, 157</v>
      </c>
      <c r="T375" t="str">
        <f>"157"</f>
        <v>157</v>
      </c>
      <c r="U375" t="str">
        <f>"157"</f>
        <v>157</v>
      </c>
      <c r="AC375" t="str">
        <f>"2019-08-29T00:00:00"</f>
        <v>2019-08-29T00:00:00</v>
      </c>
      <c r="AD375" t="str">
        <f>"1"</f>
        <v>1</v>
      </c>
      <c r="AG375" t="s">
        <v>202</v>
      </c>
      <c r="AI375" t="s">
        <v>203</v>
      </c>
      <c r="AJ375" t="s">
        <v>419</v>
      </c>
      <c r="AK375" t="s">
        <v>205</v>
      </c>
      <c r="AL375" t="s">
        <v>206</v>
      </c>
      <c r="AN375" t="s">
        <v>207</v>
      </c>
      <c r="AO375">
        <v>1</v>
      </c>
      <c r="AP375" t="s">
        <v>208</v>
      </c>
      <c r="AQ375" t="s">
        <v>209</v>
      </c>
      <c r="AR375" t="s">
        <v>210</v>
      </c>
      <c r="AW375" t="s">
        <v>206</v>
      </c>
      <c r="AX375" t="s">
        <v>211</v>
      </c>
      <c r="AZ375" t="s">
        <v>209</v>
      </c>
      <c r="BI375" t="s">
        <v>212</v>
      </c>
      <c r="BJ375" t="s">
        <v>213</v>
      </c>
      <c r="BK375" t="s">
        <v>214</v>
      </c>
      <c r="BL375" t="s">
        <v>215</v>
      </c>
      <c r="BN375" t="s">
        <v>247</v>
      </c>
      <c r="BO375" t="s">
        <v>209</v>
      </c>
      <c r="BP375" t="s">
        <v>415</v>
      </c>
      <c r="BQ375" t="s">
        <v>1130</v>
      </c>
      <c r="BS375" t="s">
        <v>219</v>
      </c>
      <c r="BT375" t="s">
        <v>220</v>
      </c>
      <c r="BU375" t="s">
        <v>206</v>
      </c>
      <c r="BX375" t="s">
        <v>221</v>
      </c>
      <c r="BY375" t="s">
        <v>221</v>
      </c>
      <c r="CA375" t="s">
        <v>287</v>
      </c>
      <c r="CC375" t="s">
        <v>222</v>
      </c>
      <c r="CD375" t="s">
        <v>223</v>
      </c>
      <c r="CE375" t="s">
        <v>242</v>
      </c>
      <c r="CJ375" t="s">
        <v>206</v>
      </c>
      <c r="CK375" t="s">
        <v>230</v>
      </c>
      <c r="CL375" t="s">
        <v>231</v>
      </c>
      <c r="CM375" t="s">
        <v>232</v>
      </c>
      <c r="CN375" t="s">
        <v>233</v>
      </c>
      <c r="CP375" t="s">
        <v>212</v>
      </c>
      <c r="CQ375" t="s">
        <v>212</v>
      </c>
      <c r="CR375" t="s">
        <v>212</v>
      </c>
      <c r="CS375" t="s">
        <v>212</v>
      </c>
      <c r="CY375" t="s">
        <v>212</v>
      </c>
      <c r="DB375" t="s">
        <v>234</v>
      </c>
      <c r="DE375" t="s">
        <v>212</v>
      </c>
      <c r="DF375" t="s">
        <v>212</v>
      </c>
      <c r="DG375" t="s">
        <v>235</v>
      </c>
      <c r="DH375" t="s">
        <v>212</v>
      </c>
      <c r="DJ375" t="s">
        <v>236</v>
      </c>
      <c r="DM375" t="s">
        <v>206</v>
      </c>
    </row>
    <row r="376" spans="1:117" x14ac:dyDescent="0.3">
      <c r="A376">
        <v>13138220</v>
      </c>
      <c r="B376">
        <v>801579</v>
      </c>
      <c r="C376" t="str">
        <f>"130729600673"</f>
        <v>130729600673</v>
      </c>
      <c r="D376" t="s">
        <v>1244</v>
      </c>
      <c r="E376" t="s">
        <v>1245</v>
      </c>
      <c r="F376" t="s">
        <v>1246</v>
      </c>
      <c r="G376" s="1">
        <v>41484</v>
      </c>
      <c r="I376" t="s">
        <v>199</v>
      </c>
      <c r="J376" t="s">
        <v>200</v>
      </c>
      <c r="K376" t="s">
        <v>201</v>
      </c>
      <c r="Q376" t="s">
        <v>212</v>
      </c>
      <c r="R376" t="str">
        <f>"КАЗАХСТАН, АКМОЛИНСКАЯ, СТЕПНОГОРСК, 27, 40"</f>
        <v>КАЗАХСТАН, АКМОЛИНСКАЯ, СТЕПНОГОРСК, 27, 40</v>
      </c>
      <c r="S376" t="str">
        <f>"ҚАЗАҚСТАН, АҚМОЛА, СТЕПНОГОР, 27, 40"</f>
        <v>ҚАЗАҚСТАН, АҚМОЛА, СТЕПНОГОР, 27, 40</v>
      </c>
      <c r="T376" t="str">
        <f>"27, 40"</f>
        <v>27, 40</v>
      </c>
      <c r="U376" t="str">
        <f>"27, 40"</f>
        <v>27, 40</v>
      </c>
      <c r="AC376" t="str">
        <f>"2019-08-29T00:00:00"</f>
        <v>2019-08-29T00:00:00</v>
      </c>
      <c r="AD376" t="str">
        <f>"1"</f>
        <v>1</v>
      </c>
      <c r="AG376" t="s">
        <v>202</v>
      </c>
      <c r="AI376" t="s">
        <v>299</v>
      </c>
      <c r="AJ376" t="s">
        <v>419</v>
      </c>
      <c r="AK376" t="s">
        <v>261</v>
      </c>
      <c r="AL376" t="s">
        <v>206</v>
      </c>
      <c r="AN376" t="s">
        <v>207</v>
      </c>
      <c r="AO376">
        <v>1</v>
      </c>
      <c r="AP376" t="s">
        <v>208</v>
      </c>
      <c r="AQ376" t="s">
        <v>209</v>
      </c>
      <c r="AR376" t="s">
        <v>307</v>
      </c>
      <c r="AW376" t="s">
        <v>206</v>
      </c>
      <c r="AX376" t="s">
        <v>211</v>
      </c>
      <c r="AZ376" t="s">
        <v>209</v>
      </c>
      <c r="BI376" t="s">
        <v>212</v>
      </c>
      <c r="BJ376" t="s">
        <v>213</v>
      </c>
      <c r="BK376" t="s">
        <v>214</v>
      </c>
      <c r="BL376" t="s">
        <v>215</v>
      </c>
      <c r="BN376" t="s">
        <v>216</v>
      </c>
      <c r="BO376" t="s">
        <v>209</v>
      </c>
      <c r="BP376" t="s">
        <v>241</v>
      </c>
      <c r="BQ376">
        <v>4</v>
      </c>
      <c r="BS376" t="s">
        <v>219</v>
      </c>
      <c r="BT376" t="s">
        <v>220</v>
      </c>
      <c r="BU376" t="s">
        <v>206</v>
      </c>
      <c r="BX376" t="s">
        <v>221</v>
      </c>
      <c r="BY376" t="s">
        <v>221</v>
      </c>
      <c r="CA376" t="s">
        <v>287</v>
      </c>
      <c r="CC376" t="s">
        <v>353</v>
      </c>
      <c r="CD376" t="s">
        <v>223</v>
      </c>
      <c r="CE376" t="s">
        <v>242</v>
      </c>
      <c r="CJ376" t="s">
        <v>206</v>
      </c>
      <c r="CK376" t="s">
        <v>230</v>
      </c>
      <c r="CL376" t="s">
        <v>231</v>
      </c>
      <c r="CM376" t="s">
        <v>232</v>
      </c>
      <c r="CN376" t="s">
        <v>233</v>
      </c>
      <c r="CP376" t="s">
        <v>212</v>
      </c>
      <c r="CQ376" t="s">
        <v>212</v>
      </c>
      <c r="CR376" t="s">
        <v>212</v>
      </c>
      <c r="CS376" t="s">
        <v>212</v>
      </c>
      <c r="CY376" t="s">
        <v>212</v>
      </c>
      <c r="DB376" t="s">
        <v>234</v>
      </c>
      <c r="DE376" t="s">
        <v>212</v>
      </c>
      <c r="DF376" t="s">
        <v>212</v>
      </c>
      <c r="DG376" t="s">
        <v>235</v>
      </c>
      <c r="DH376" t="s">
        <v>212</v>
      </c>
      <c r="DJ376" t="s">
        <v>236</v>
      </c>
      <c r="DM376" t="s">
        <v>212</v>
      </c>
    </row>
    <row r="377" spans="1:117" x14ac:dyDescent="0.3">
      <c r="A377">
        <v>13138214</v>
      </c>
      <c r="B377">
        <v>860421</v>
      </c>
      <c r="C377" t="str">
        <f>"130516601257"</f>
        <v>130516601257</v>
      </c>
      <c r="D377" t="s">
        <v>1247</v>
      </c>
      <c r="E377" t="s">
        <v>725</v>
      </c>
      <c r="F377" t="s">
        <v>1248</v>
      </c>
      <c r="G377" s="1">
        <v>41410</v>
      </c>
      <c r="I377" t="s">
        <v>199</v>
      </c>
      <c r="J377" t="s">
        <v>200</v>
      </c>
      <c r="K377" t="s">
        <v>260</v>
      </c>
      <c r="Q377" t="s">
        <v>212</v>
      </c>
      <c r="R377" t="str">
        <f>"КАЗАХСТАН, АКМОЛИНСКАЯ, СТЕПНОГОРСК, АКСУ, 28"</f>
        <v>КАЗАХСТАН, АКМОЛИНСКАЯ, СТЕПНОГОРСК, АКСУ, 28</v>
      </c>
      <c r="S377" t="str">
        <f>"ҚАЗАҚСТАН, АҚМОЛА, СТЕПНОГОР, АКСУ, 28"</f>
        <v>ҚАЗАҚСТАН, АҚМОЛА, СТЕПНОГОР, АКСУ, 28</v>
      </c>
      <c r="T377" t="str">
        <f>"АКСУ, 28"</f>
        <v>АКСУ, 28</v>
      </c>
      <c r="U377" t="str">
        <f>"АКСУ, 28"</f>
        <v>АКСУ, 28</v>
      </c>
      <c r="AC377" t="str">
        <f>"2019-08-29T00:00:00"</f>
        <v>2019-08-29T00:00:00</v>
      </c>
      <c r="AD377" t="str">
        <f>"1"</f>
        <v>1</v>
      </c>
      <c r="AG377" t="s">
        <v>202</v>
      </c>
      <c r="AI377" t="s">
        <v>299</v>
      </c>
      <c r="AJ377" t="s">
        <v>419</v>
      </c>
      <c r="AK377" t="s">
        <v>261</v>
      </c>
      <c r="AL377" t="s">
        <v>206</v>
      </c>
      <c r="AN377" t="s">
        <v>207</v>
      </c>
      <c r="AO377">
        <v>1</v>
      </c>
      <c r="AP377" t="s">
        <v>208</v>
      </c>
      <c r="AQ377" t="s">
        <v>209</v>
      </c>
      <c r="AR377" t="s">
        <v>210</v>
      </c>
      <c r="AW377" t="s">
        <v>206</v>
      </c>
      <c r="AX377" t="s">
        <v>211</v>
      </c>
      <c r="AZ377" t="s">
        <v>209</v>
      </c>
      <c r="BI377" t="s">
        <v>212</v>
      </c>
      <c r="BJ377" t="s">
        <v>213</v>
      </c>
      <c r="BK377" t="s">
        <v>214</v>
      </c>
      <c r="BL377" t="s">
        <v>215</v>
      </c>
      <c r="BN377" t="s">
        <v>216</v>
      </c>
      <c r="BO377" t="s">
        <v>209</v>
      </c>
      <c r="BP377" t="s">
        <v>415</v>
      </c>
      <c r="BQ377" t="s">
        <v>673</v>
      </c>
      <c r="BS377" t="s">
        <v>219</v>
      </c>
      <c r="BT377" t="s">
        <v>220</v>
      </c>
      <c r="BU377" t="s">
        <v>206</v>
      </c>
      <c r="BX377" t="s">
        <v>221</v>
      </c>
      <c r="BY377" t="s">
        <v>221</v>
      </c>
      <c r="CA377" t="s">
        <v>287</v>
      </c>
      <c r="CC377" t="s">
        <v>222</v>
      </c>
      <c r="CD377" t="s">
        <v>223</v>
      </c>
      <c r="CE377" t="s">
        <v>242</v>
      </c>
      <c r="CJ377" t="s">
        <v>206</v>
      </c>
      <c r="CK377" t="s">
        <v>230</v>
      </c>
      <c r="CL377" t="s">
        <v>231</v>
      </c>
      <c r="CM377" t="s">
        <v>232</v>
      </c>
      <c r="CN377" t="s">
        <v>233</v>
      </c>
      <c r="CP377" t="s">
        <v>212</v>
      </c>
      <c r="CQ377" t="s">
        <v>212</v>
      </c>
      <c r="CR377" t="s">
        <v>212</v>
      </c>
      <c r="CS377" t="s">
        <v>212</v>
      </c>
      <c r="CY377" t="s">
        <v>212</v>
      </c>
      <c r="DB377" t="s">
        <v>234</v>
      </c>
      <c r="DE377" t="s">
        <v>212</v>
      </c>
      <c r="DF377" t="s">
        <v>212</v>
      </c>
      <c r="DG377" t="s">
        <v>235</v>
      </c>
      <c r="DH377" t="s">
        <v>212</v>
      </c>
      <c r="DJ377" t="s">
        <v>236</v>
      </c>
      <c r="DM377" t="s">
        <v>212</v>
      </c>
    </row>
    <row r="378" spans="1:117" x14ac:dyDescent="0.3">
      <c r="A378">
        <v>25565996</v>
      </c>
      <c r="B378">
        <v>13342856</v>
      </c>
      <c r="C378" t="str">
        <f>"170409504151"</f>
        <v>170409504151</v>
      </c>
      <c r="D378" t="s">
        <v>1249</v>
      </c>
      <c r="E378" t="s">
        <v>1250</v>
      </c>
      <c r="F378" t="s">
        <v>1251</v>
      </c>
      <c r="G378" s="1">
        <v>42834</v>
      </c>
      <c r="I378" t="s">
        <v>240</v>
      </c>
      <c r="J378" t="s">
        <v>200</v>
      </c>
      <c r="K378" t="s">
        <v>201</v>
      </c>
      <c r="Q378" t="s">
        <v>212</v>
      </c>
      <c r="R378" t="str">
        <f>"КАЗАХСТАН, НУР-СУЛТАН, САРЫАРКА РАЙОН, 20, 197"</f>
        <v>КАЗАХСТАН, НУР-СУЛТАН, САРЫАРКА РАЙОН, 20, 197</v>
      </c>
      <c r="S378" t="str">
        <f>"ҚАЗАҚСТАН, НҰР-СҰЛТАН, САРЫАРҚА АУДАНЫ, 20, 197"</f>
        <v>ҚАЗАҚСТАН, НҰР-СҰЛТАН, САРЫАРҚА АУДАНЫ, 20, 197</v>
      </c>
      <c r="T378" t="str">
        <f>"20, 197"</f>
        <v>20, 197</v>
      </c>
      <c r="U378" t="str">
        <f>"20, 197"</f>
        <v>20, 197</v>
      </c>
      <c r="AC378" t="str">
        <f>"2023-08-25T00:00:00"</f>
        <v>2023-08-25T00:00:00</v>
      </c>
      <c r="AD378" t="str">
        <f>"201"</f>
        <v>201</v>
      </c>
      <c r="AG378" t="s">
        <v>646</v>
      </c>
      <c r="AI378" t="s">
        <v>274</v>
      </c>
      <c r="AJ378" t="s">
        <v>660</v>
      </c>
      <c r="AK378" t="s">
        <v>253</v>
      </c>
      <c r="AL378" t="s">
        <v>206</v>
      </c>
      <c r="AN378" t="s">
        <v>254</v>
      </c>
      <c r="AO378">
        <v>1</v>
      </c>
      <c r="AP378" t="s">
        <v>208</v>
      </c>
      <c r="AQ378" t="s">
        <v>209</v>
      </c>
      <c r="AR378" t="s">
        <v>502</v>
      </c>
      <c r="AW378" t="s">
        <v>212</v>
      </c>
      <c r="AZ378" t="s">
        <v>209</v>
      </c>
      <c r="BI378" t="s">
        <v>212</v>
      </c>
      <c r="BJ378" t="s">
        <v>213</v>
      </c>
      <c r="BK378" t="s">
        <v>214</v>
      </c>
      <c r="BL378" t="s">
        <v>357</v>
      </c>
      <c r="BN378" t="s">
        <v>661</v>
      </c>
      <c r="BO378" t="s">
        <v>209</v>
      </c>
      <c r="BS378" t="s">
        <v>220</v>
      </c>
      <c r="BU378" t="s">
        <v>212</v>
      </c>
      <c r="BZ378" t="s">
        <v>662</v>
      </c>
      <c r="CA378" t="s">
        <v>287</v>
      </c>
      <c r="CC378" t="s">
        <v>209</v>
      </c>
      <c r="CE378" t="s">
        <v>242</v>
      </c>
      <c r="CJ378" t="s">
        <v>206</v>
      </c>
      <c r="CK378" t="s">
        <v>230</v>
      </c>
      <c r="CL378" t="s">
        <v>231</v>
      </c>
      <c r="CM378" t="s">
        <v>232</v>
      </c>
      <c r="CN378" t="s">
        <v>233</v>
      </c>
      <c r="CP378" t="s">
        <v>212</v>
      </c>
      <c r="CQ378" t="s">
        <v>212</v>
      </c>
      <c r="CR378" t="s">
        <v>212</v>
      </c>
      <c r="CS378" t="s">
        <v>212</v>
      </c>
      <c r="CY378" t="s">
        <v>212</v>
      </c>
      <c r="DB378" t="s">
        <v>234</v>
      </c>
      <c r="DE378" t="s">
        <v>212</v>
      </c>
      <c r="DF378" t="s">
        <v>212</v>
      </c>
      <c r="DG378" t="s">
        <v>235</v>
      </c>
      <c r="DH378" t="s">
        <v>212</v>
      </c>
      <c r="DJ378" t="s">
        <v>236</v>
      </c>
      <c r="DM378" t="s">
        <v>212</v>
      </c>
    </row>
    <row r="379" spans="1:117" x14ac:dyDescent="0.3">
      <c r="A379">
        <v>25566163</v>
      </c>
      <c r="B379">
        <v>12316619</v>
      </c>
      <c r="C379" t="str">
        <f>"170703502589"</f>
        <v>170703502589</v>
      </c>
      <c r="D379" t="s">
        <v>1252</v>
      </c>
      <c r="E379" t="s">
        <v>384</v>
      </c>
      <c r="F379" t="s">
        <v>1253</v>
      </c>
      <c r="G379" s="1">
        <v>42919</v>
      </c>
      <c r="I379" t="s">
        <v>240</v>
      </c>
      <c r="J379" t="s">
        <v>200</v>
      </c>
      <c r="K379" t="s">
        <v>201</v>
      </c>
      <c r="Q379" t="s">
        <v>212</v>
      </c>
      <c r="R379" t="str">
        <f>"КАЗАХСТАН, АКМОЛИНСКАЯ, СТЕПНОГОРСК, 17, 115"</f>
        <v>КАЗАХСТАН, АКМОЛИНСКАЯ, СТЕПНОГОРСК, 17, 115</v>
      </c>
      <c r="S379" t="str">
        <f>"ҚАЗАҚСТАН, АҚМОЛА, СТЕПНОГОР, 17, 115"</f>
        <v>ҚАЗАҚСТАН, АҚМОЛА, СТЕПНОГОР, 17, 115</v>
      </c>
      <c r="T379" t="str">
        <f>"17, 115"</f>
        <v>17, 115</v>
      </c>
      <c r="U379" t="str">
        <f>"17, 115"</f>
        <v>17, 115</v>
      </c>
      <c r="AC379" t="str">
        <f>"2023-08-25T00:00:00"</f>
        <v>2023-08-25T00:00:00</v>
      </c>
      <c r="AD379" t="str">
        <f>"201"</f>
        <v>201</v>
      </c>
      <c r="AG379" t="s">
        <v>202</v>
      </c>
      <c r="AI379" t="s">
        <v>299</v>
      </c>
      <c r="AJ379" t="s">
        <v>660</v>
      </c>
      <c r="AK379" t="s">
        <v>434</v>
      </c>
      <c r="AL379" t="s">
        <v>206</v>
      </c>
      <c r="AN379" t="s">
        <v>254</v>
      </c>
      <c r="AO379">
        <v>1</v>
      </c>
      <c r="AP379" t="s">
        <v>208</v>
      </c>
      <c r="AQ379" t="s">
        <v>209</v>
      </c>
      <c r="AR379" t="s">
        <v>502</v>
      </c>
      <c r="AW379" t="s">
        <v>212</v>
      </c>
      <c r="AZ379" t="s">
        <v>209</v>
      </c>
      <c r="BI379" t="s">
        <v>212</v>
      </c>
      <c r="BJ379" t="s">
        <v>213</v>
      </c>
      <c r="BK379" t="s">
        <v>214</v>
      </c>
      <c r="BL379" t="s">
        <v>357</v>
      </c>
      <c r="BN379" t="s">
        <v>661</v>
      </c>
      <c r="BO379" t="s">
        <v>209</v>
      </c>
      <c r="BS379" t="s">
        <v>220</v>
      </c>
      <c r="BU379" t="s">
        <v>212</v>
      </c>
      <c r="BZ379" t="s">
        <v>662</v>
      </c>
      <c r="CA379" t="s">
        <v>287</v>
      </c>
      <c r="CC379" t="s">
        <v>209</v>
      </c>
      <c r="CE379" t="s">
        <v>242</v>
      </c>
      <c r="CJ379" t="s">
        <v>206</v>
      </c>
      <c r="CK379" t="s">
        <v>230</v>
      </c>
      <c r="CL379" t="s">
        <v>231</v>
      </c>
      <c r="CM379" t="s">
        <v>232</v>
      </c>
      <c r="CN379" t="s">
        <v>233</v>
      </c>
      <c r="CP379" t="s">
        <v>212</v>
      </c>
      <c r="CQ379" t="s">
        <v>212</v>
      </c>
      <c r="CR379" t="s">
        <v>212</v>
      </c>
      <c r="CS379" t="s">
        <v>212</v>
      </c>
      <c r="CY379" t="s">
        <v>212</v>
      </c>
      <c r="DB379" t="s">
        <v>234</v>
      </c>
      <c r="DE379" t="s">
        <v>212</v>
      </c>
      <c r="DF379" t="s">
        <v>212</v>
      </c>
      <c r="DG379" t="s">
        <v>235</v>
      </c>
      <c r="DH379" t="s">
        <v>212</v>
      </c>
      <c r="DJ379" t="s">
        <v>236</v>
      </c>
      <c r="DM379" t="s">
        <v>212</v>
      </c>
    </row>
    <row r="380" spans="1:117" x14ac:dyDescent="0.3">
      <c r="A380">
        <v>13136239</v>
      </c>
      <c r="B380">
        <v>800753</v>
      </c>
      <c r="C380" t="str">
        <f>"121224500692"</f>
        <v>121224500692</v>
      </c>
      <c r="D380" t="s">
        <v>1254</v>
      </c>
      <c r="E380" t="s">
        <v>1255</v>
      </c>
      <c r="F380" t="s">
        <v>1256</v>
      </c>
      <c r="G380" s="1">
        <v>41267</v>
      </c>
      <c r="I380" t="s">
        <v>240</v>
      </c>
      <c r="J380" t="s">
        <v>200</v>
      </c>
      <c r="K380" t="s">
        <v>260</v>
      </c>
      <c r="Q380" t="s">
        <v>212</v>
      </c>
      <c r="R380" t="str">
        <f>"КАЗАХСТАН, АКМОЛИНСКАЯ, СТЕПНОГОРСК, СТЕПНОГОРСК, 42, 8"</f>
        <v>КАЗАХСТАН, АКМОЛИНСКАЯ, СТЕПНОГОРСК, СТЕПНОГОРСК, 42, 8</v>
      </c>
      <c r="S380" t="str">
        <f>"ҚАЗАҚСТАН, АҚМОЛА, СТЕПНОГОР, СТЕПНОГОРСК, 42, 8"</f>
        <v>ҚАЗАҚСТАН, АҚМОЛА, СТЕПНОГОР, СТЕПНОГОРСК, 42, 8</v>
      </c>
      <c r="T380" t="str">
        <f>"СТЕПНОГОРСК, 42, 8"</f>
        <v>СТЕПНОГОРСК, 42, 8</v>
      </c>
      <c r="U380" t="str">
        <f>"СТЕПНОГОРСК, 42, 8"</f>
        <v>СТЕПНОГОРСК, 42, 8</v>
      </c>
      <c r="AC380" t="str">
        <f>"2019-08-29T00:00:00"</f>
        <v>2019-08-29T00:00:00</v>
      </c>
      <c r="AD380" t="str">
        <f>"1"</f>
        <v>1</v>
      </c>
      <c r="AG380" t="s">
        <v>202</v>
      </c>
      <c r="AI380" t="s">
        <v>299</v>
      </c>
      <c r="AJ380" t="s">
        <v>419</v>
      </c>
      <c r="AK380" t="s">
        <v>205</v>
      </c>
      <c r="AL380" t="s">
        <v>206</v>
      </c>
      <c r="AN380" t="s">
        <v>207</v>
      </c>
      <c r="AO380">
        <v>1</v>
      </c>
      <c r="AP380" t="s">
        <v>208</v>
      </c>
      <c r="AQ380" t="s">
        <v>209</v>
      </c>
      <c r="AR380" t="s">
        <v>210</v>
      </c>
      <c r="AW380" t="s">
        <v>206</v>
      </c>
      <c r="AX380" t="s">
        <v>211</v>
      </c>
      <c r="AZ380" t="s">
        <v>209</v>
      </c>
      <c r="BI380" t="s">
        <v>212</v>
      </c>
      <c r="BJ380" t="s">
        <v>213</v>
      </c>
      <c r="BK380" t="s">
        <v>214</v>
      </c>
      <c r="BL380" t="s">
        <v>215</v>
      </c>
      <c r="BN380" t="s">
        <v>247</v>
      </c>
      <c r="BO380" t="s">
        <v>209</v>
      </c>
      <c r="BP380" t="s">
        <v>415</v>
      </c>
      <c r="BQ380" t="s">
        <v>1130</v>
      </c>
      <c r="BS380" t="s">
        <v>219</v>
      </c>
      <c r="BT380" t="s">
        <v>220</v>
      </c>
      <c r="BU380" t="s">
        <v>206</v>
      </c>
      <c r="BX380" t="s">
        <v>221</v>
      </c>
      <c r="BY380" t="s">
        <v>221</v>
      </c>
      <c r="CA380" t="s">
        <v>287</v>
      </c>
      <c r="CC380" t="s">
        <v>209</v>
      </c>
      <c r="CE380" t="s">
        <v>242</v>
      </c>
      <c r="CJ380" t="s">
        <v>206</v>
      </c>
      <c r="CK380" t="s">
        <v>230</v>
      </c>
      <c r="CL380" t="s">
        <v>231</v>
      </c>
      <c r="CM380" t="s">
        <v>232</v>
      </c>
      <c r="CN380" t="s">
        <v>233</v>
      </c>
      <c r="CP380" t="s">
        <v>212</v>
      </c>
      <c r="CQ380" t="s">
        <v>212</v>
      </c>
      <c r="CR380" t="s">
        <v>212</v>
      </c>
      <c r="CS380" t="s">
        <v>212</v>
      </c>
      <c r="CY380" t="s">
        <v>212</v>
      </c>
      <c r="DB380" t="s">
        <v>234</v>
      </c>
      <c r="DE380" t="s">
        <v>212</v>
      </c>
      <c r="DF380" t="s">
        <v>212</v>
      </c>
      <c r="DG380" t="s">
        <v>235</v>
      </c>
      <c r="DH380" t="s">
        <v>212</v>
      </c>
      <c r="DJ380" t="s">
        <v>236</v>
      </c>
      <c r="DM380" t="s">
        <v>212</v>
      </c>
    </row>
    <row r="381" spans="1:117" x14ac:dyDescent="0.3">
      <c r="A381">
        <v>13136106</v>
      </c>
      <c r="B381">
        <v>860490</v>
      </c>
      <c r="C381" t="str">
        <f>"130505604033"</f>
        <v>130505604033</v>
      </c>
      <c r="D381" t="s">
        <v>1257</v>
      </c>
      <c r="E381" t="s">
        <v>297</v>
      </c>
      <c r="F381" t="s">
        <v>1246</v>
      </c>
      <c r="G381" s="1">
        <v>41399</v>
      </c>
      <c r="I381" t="s">
        <v>199</v>
      </c>
      <c r="J381" t="s">
        <v>200</v>
      </c>
      <c r="K381" t="s">
        <v>201</v>
      </c>
      <c r="Q381" t="s">
        <v>212</v>
      </c>
      <c r="R381" t="str">
        <f>"КАЗАХСТАН, АКМОЛИНСКАЯ, СТЕПНОГОРСК, 51, 508"</f>
        <v>КАЗАХСТАН, АКМОЛИНСКАЯ, СТЕПНОГОРСК, 51, 508</v>
      </c>
      <c r="S381" t="str">
        <f>"ҚАЗАҚСТАН, АҚМОЛА, СТЕПНОГОР, 51, 508"</f>
        <v>ҚАЗАҚСТАН, АҚМОЛА, СТЕПНОГОР, 51, 508</v>
      </c>
      <c r="T381" t="str">
        <f>"51, 508"</f>
        <v>51, 508</v>
      </c>
      <c r="U381" t="str">
        <f>"51, 508"</f>
        <v>51, 508</v>
      </c>
      <c r="AC381" t="str">
        <f>"2019-08-29T00:00:00"</f>
        <v>2019-08-29T00:00:00</v>
      </c>
      <c r="AD381" t="str">
        <f>"1"</f>
        <v>1</v>
      </c>
      <c r="AG381" t="s">
        <v>202</v>
      </c>
      <c r="AI381" t="s">
        <v>299</v>
      </c>
      <c r="AJ381" t="s">
        <v>419</v>
      </c>
      <c r="AK381" t="s">
        <v>261</v>
      </c>
      <c r="AL381" t="s">
        <v>206</v>
      </c>
      <c r="AN381" t="s">
        <v>207</v>
      </c>
      <c r="AO381">
        <v>1</v>
      </c>
      <c r="AP381" t="s">
        <v>208</v>
      </c>
      <c r="AQ381" t="s">
        <v>209</v>
      </c>
      <c r="AR381" t="s">
        <v>262</v>
      </c>
      <c r="AW381" t="s">
        <v>206</v>
      </c>
      <c r="AX381" t="s">
        <v>211</v>
      </c>
      <c r="AZ381" t="s">
        <v>209</v>
      </c>
      <c r="BI381" t="s">
        <v>212</v>
      </c>
      <c r="BJ381" t="s">
        <v>213</v>
      </c>
      <c r="BK381" t="s">
        <v>214</v>
      </c>
      <c r="BL381" t="s">
        <v>215</v>
      </c>
      <c r="BN381" t="s">
        <v>216</v>
      </c>
      <c r="BO381" t="s">
        <v>209</v>
      </c>
      <c r="BP381" t="s">
        <v>241</v>
      </c>
      <c r="BQ381">
        <v>4</v>
      </c>
      <c r="BS381" t="s">
        <v>219</v>
      </c>
      <c r="BT381" t="s">
        <v>220</v>
      </c>
      <c r="BU381" t="s">
        <v>206</v>
      </c>
      <c r="BX381" t="s">
        <v>221</v>
      </c>
      <c r="BY381" t="s">
        <v>221</v>
      </c>
      <c r="CA381" t="s">
        <v>287</v>
      </c>
      <c r="CC381" t="s">
        <v>222</v>
      </c>
      <c r="CD381" t="s">
        <v>223</v>
      </c>
      <c r="CE381" t="s">
        <v>242</v>
      </c>
      <c r="CJ381" t="s">
        <v>206</v>
      </c>
      <c r="CK381" t="s">
        <v>230</v>
      </c>
      <c r="CL381" t="s">
        <v>231</v>
      </c>
      <c r="CM381" t="s">
        <v>232</v>
      </c>
      <c r="CN381" t="s">
        <v>233</v>
      </c>
      <c r="CP381" t="s">
        <v>212</v>
      </c>
      <c r="CQ381" t="s">
        <v>212</v>
      </c>
      <c r="CR381" t="s">
        <v>212</v>
      </c>
      <c r="CS381" t="s">
        <v>212</v>
      </c>
      <c r="CY381" t="s">
        <v>212</v>
      </c>
      <c r="DB381" t="s">
        <v>234</v>
      </c>
      <c r="DE381" t="s">
        <v>212</v>
      </c>
      <c r="DF381" t="s">
        <v>212</v>
      </c>
      <c r="DG381" t="s">
        <v>235</v>
      </c>
      <c r="DH381" t="s">
        <v>212</v>
      </c>
      <c r="DJ381" t="s">
        <v>236</v>
      </c>
      <c r="DM381" t="s">
        <v>212</v>
      </c>
    </row>
    <row r="382" spans="1:117" x14ac:dyDescent="0.3">
      <c r="A382">
        <v>13136030</v>
      </c>
      <c r="B382">
        <v>760623</v>
      </c>
      <c r="C382" t="str">
        <f>"130117505076"</f>
        <v>130117505076</v>
      </c>
      <c r="D382" t="s">
        <v>907</v>
      </c>
      <c r="E382" t="s">
        <v>1258</v>
      </c>
      <c r="F382" t="s">
        <v>645</v>
      </c>
      <c r="G382" s="1">
        <v>41291</v>
      </c>
      <c r="I382" t="s">
        <v>240</v>
      </c>
      <c r="J382" t="s">
        <v>200</v>
      </c>
      <c r="K382" t="s">
        <v>201</v>
      </c>
      <c r="Q382" t="s">
        <v>212</v>
      </c>
      <c r="R382" t="str">
        <f>"КАЗАХСТАН, АКМОЛИНСКАЯ, СТЕПНОГОРСК, 83, 43"</f>
        <v>КАЗАХСТАН, АКМОЛИНСКАЯ, СТЕПНОГОРСК, 83, 43</v>
      </c>
      <c r="S382" t="str">
        <f>"ҚАЗАҚСТАН, АҚМОЛА, СТЕПНОГОР, 83, 43"</f>
        <v>ҚАЗАҚСТАН, АҚМОЛА, СТЕПНОГОР, 83, 43</v>
      </c>
      <c r="T382" t="str">
        <f>"83, 43"</f>
        <v>83, 43</v>
      </c>
      <c r="U382" t="str">
        <f>"83, 43"</f>
        <v>83, 43</v>
      </c>
      <c r="AC382" t="str">
        <f>"2019-08-29T00:00:00"</f>
        <v>2019-08-29T00:00:00</v>
      </c>
      <c r="AD382" t="str">
        <f>"1"</f>
        <v>1</v>
      </c>
      <c r="AE382" t="str">
        <f>"2023-09-01T16:00:48"</f>
        <v>2023-09-01T16:00:48</v>
      </c>
      <c r="AF382" t="str">
        <f>"2024-05-25T16:00:48"</f>
        <v>2024-05-25T16:00:48</v>
      </c>
      <c r="AG382" t="s">
        <v>1259</v>
      </c>
      <c r="AI382" t="s">
        <v>299</v>
      </c>
      <c r="AJ382" t="s">
        <v>501</v>
      </c>
      <c r="AK382" t="s">
        <v>261</v>
      </c>
      <c r="AL382" t="s">
        <v>206</v>
      </c>
      <c r="AN382" t="s">
        <v>207</v>
      </c>
      <c r="AO382">
        <v>1</v>
      </c>
      <c r="AP382" t="s">
        <v>208</v>
      </c>
      <c r="AQ382" t="s">
        <v>209</v>
      </c>
      <c r="AR382" t="s">
        <v>502</v>
      </c>
      <c r="AW382" t="s">
        <v>212</v>
      </c>
      <c r="AZ382" t="s">
        <v>209</v>
      </c>
      <c r="BI382" t="s">
        <v>212</v>
      </c>
      <c r="BJ382" t="s">
        <v>213</v>
      </c>
      <c r="BK382" t="s">
        <v>214</v>
      </c>
      <c r="BL382" t="s">
        <v>357</v>
      </c>
      <c r="BN382" t="s">
        <v>247</v>
      </c>
      <c r="BO382" t="s">
        <v>209</v>
      </c>
      <c r="BP382" t="s">
        <v>241</v>
      </c>
      <c r="BQ382">
        <v>3</v>
      </c>
      <c r="BS382" t="s">
        <v>219</v>
      </c>
      <c r="BT382" t="s">
        <v>220</v>
      </c>
      <c r="BU382" t="s">
        <v>206</v>
      </c>
      <c r="BX382" t="s">
        <v>221</v>
      </c>
      <c r="BY382" t="s">
        <v>221</v>
      </c>
      <c r="BZ382" t="s">
        <v>503</v>
      </c>
      <c r="CA382" t="s">
        <v>287</v>
      </c>
      <c r="CC382" t="s">
        <v>222</v>
      </c>
      <c r="CD382" t="s">
        <v>223</v>
      </c>
      <c r="CE382" t="s">
        <v>242</v>
      </c>
      <c r="CJ382" t="s">
        <v>206</v>
      </c>
      <c r="CK382" t="s">
        <v>230</v>
      </c>
      <c r="CL382" t="s">
        <v>231</v>
      </c>
      <c r="CM382" t="s">
        <v>232</v>
      </c>
      <c r="CN382" t="s">
        <v>233</v>
      </c>
      <c r="CP382" t="s">
        <v>212</v>
      </c>
      <c r="CQ382" t="s">
        <v>212</v>
      </c>
      <c r="CR382" t="s">
        <v>212</v>
      </c>
      <c r="CS382" t="s">
        <v>212</v>
      </c>
      <c r="CY382" t="s">
        <v>212</v>
      </c>
      <c r="DB382" t="s">
        <v>653</v>
      </c>
      <c r="DC382" t="str">
        <f>"№341 Интеллектуально сохранен."</f>
        <v>№341 Интеллектуально сохранен.</v>
      </c>
      <c r="DD382" t="str">
        <f>"2023-04-25T00:00:00"</f>
        <v>2023-04-25T00:00:00</v>
      </c>
      <c r="DE382" t="s">
        <v>212</v>
      </c>
      <c r="DF382" t="s">
        <v>212</v>
      </c>
      <c r="DG382" t="s">
        <v>235</v>
      </c>
      <c r="DH382" t="s">
        <v>212</v>
      </c>
      <c r="DJ382" t="s">
        <v>236</v>
      </c>
      <c r="DM382" t="s">
        <v>212</v>
      </c>
    </row>
    <row r="383" spans="1:117" x14ac:dyDescent="0.3">
      <c r="A383">
        <v>13135924</v>
      </c>
      <c r="B383">
        <v>800497</v>
      </c>
      <c r="C383" t="str">
        <f>"121106602485"</f>
        <v>121106602485</v>
      </c>
      <c r="D383" t="s">
        <v>1260</v>
      </c>
      <c r="E383" t="s">
        <v>1261</v>
      </c>
      <c r="F383" t="s">
        <v>1262</v>
      </c>
      <c r="G383" s="1">
        <v>41219</v>
      </c>
      <c r="I383" t="s">
        <v>199</v>
      </c>
      <c r="J383" t="s">
        <v>200</v>
      </c>
      <c r="K383" t="s">
        <v>1046</v>
      </c>
      <c r="Q383" t="s">
        <v>212</v>
      </c>
      <c r="R383" t="str">
        <f>"КАЗАХСТАН, АКМОЛИНСКАЯ, СТЕПНОГОРСК, 45, 12"</f>
        <v>КАЗАХСТАН, АКМОЛИНСКАЯ, СТЕПНОГОРСК, 45, 12</v>
      </c>
      <c r="S383" t="str">
        <f>"ҚАЗАҚСТАН, АҚМОЛА, СТЕПНОГОР, 45, 12"</f>
        <v>ҚАЗАҚСТАН, АҚМОЛА, СТЕПНОГОР, 45, 12</v>
      </c>
      <c r="T383" t="str">
        <f>"45, 12"</f>
        <v>45, 12</v>
      </c>
      <c r="U383" t="str">
        <f>"45, 12"</f>
        <v>45, 12</v>
      </c>
      <c r="AC383" t="str">
        <f>"2019-08-29T00:00:00"</f>
        <v>2019-08-29T00:00:00</v>
      </c>
      <c r="AD383" t="str">
        <f>"1"</f>
        <v>1</v>
      </c>
      <c r="AG383" t="s">
        <v>1259</v>
      </c>
      <c r="AI383" t="s">
        <v>203</v>
      </c>
      <c r="AJ383" t="s">
        <v>419</v>
      </c>
      <c r="AK383" t="s">
        <v>205</v>
      </c>
      <c r="AL383" t="s">
        <v>206</v>
      </c>
      <c r="AN383" t="s">
        <v>207</v>
      </c>
      <c r="AO383">
        <v>1</v>
      </c>
      <c r="AP383" t="s">
        <v>208</v>
      </c>
      <c r="AQ383" t="s">
        <v>209</v>
      </c>
      <c r="AR383" t="s">
        <v>210</v>
      </c>
      <c r="AW383" t="s">
        <v>206</v>
      </c>
      <c r="AX383" t="s">
        <v>211</v>
      </c>
      <c r="AZ383" t="s">
        <v>209</v>
      </c>
      <c r="BI383" t="s">
        <v>212</v>
      </c>
      <c r="BJ383" t="s">
        <v>213</v>
      </c>
      <c r="BK383" t="s">
        <v>214</v>
      </c>
      <c r="BL383" t="s">
        <v>215</v>
      </c>
      <c r="BN383" t="s">
        <v>281</v>
      </c>
      <c r="BO383" t="s">
        <v>209</v>
      </c>
      <c r="BP383" t="s">
        <v>241</v>
      </c>
      <c r="BQ383">
        <v>5</v>
      </c>
      <c r="BS383" t="s">
        <v>219</v>
      </c>
      <c r="BT383" t="s">
        <v>220</v>
      </c>
      <c r="BU383" t="s">
        <v>206</v>
      </c>
      <c r="BX383" t="s">
        <v>234</v>
      </c>
      <c r="BY383" t="s">
        <v>234</v>
      </c>
      <c r="CA383" t="s">
        <v>287</v>
      </c>
      <c r="CC383" t="s">
        <v>353</v>
      </c>
      <c r="CD383" t="s">
        <v>223</v>
      </c>
      <c r="CE383" t="s">
        <v>242</v>
      </c>
      <c r="CJ383" t="s">
        <v>206</v>
      </c>
      <c r="CK383" t="s">
        <v>230</v>
      </c>
      <c r="CL383" t="s">
        <v>231</v>
      </c>
      <c r="CM383" t="s">
        <v>232</v>
      </c>
      <c r="CN383" t="s">
        <v>233</v>
      </c>
      <c r="CP383" t="s">
        <v>212</v>
      </c>
      <c r="CQ383" t="s">
        <v>212</v>
      </c>
      <c r="CR383" t="s">
        <v>212</v>
      </c>
      <c r="CS383" t="s">
        <v>212</v>
      </c>
      <c r="CY383" t="s">
        <v>212</v>
      </c>
      <c r="DB383" t="s">
        <v>234</v>
      </c>
      <c r="DE383" t="s">
        <v>212</v>
      </c>
      <c r="DF383" t="s">
        <v>212</v>
      </c>
      <c r="DG383" t="s">
        <v>235</v>
      </c>
      <c r="DH383" t="s">
        <v>212</v>
      </c>
      <c r="DJ383" t="s">
        <v>236</v>
      </c>
      <c r="DM383" t="s">
        <v>212</v>
      </c>
    </row>
    <row r="384" spans="1:117" x14ac:dyDescent="0.3">
      <c r="A384">
        <v>12920507</v>
      </c>
      <c r="B384">
        <v>273463</v>
      </c>
      <c r="C384" t="str">
        <f>"080907653085"</f>
        <v>080907653085</v>
      </c>
      <c r="D384" t="s">
        <v>1263</v>
      </c>
      <c r="E384" t="s">
        <v>1264</v>
      </c>
      <c r="F384" t="s">
        <v>1265</v>
      </c>
      <c r="G384" s="1">
        <v>39698</v>
      </c>
      <c r="I384" t="s">
        <v>199</v>
      </c>
      <c r="J384" t="s">
        <v>200</v>
      </c>
      <c r="K384" t="s">
        <v>1266</v>
      </c>
      <c r="Q384" t="s">
        <v>212</v>
      </c>
      <c r="R384" t="str">
        <f>"АНДОРРА, АКМОЛИНСКАЯ, СТЕПНОГОРСК, 24, 7"</f>
        <v>АНДОРРА, АКМОЛИНСКАЯ, СТЕПНОГОРСК, 24, 7</v>
      </c>
      <c r="S384" t="str">
        <f>"АНДОРРА, АҚМОЛА, СТЕПНОГОР, 24, 7"</f>
        <v>АНДОРРА, АҚМОЛА, СТЕПНОГОР, 24, 7</v>
      </c>
      <c r="T384" t="str">
        <f>"24, 7"</f>
        <v>24, 7</v>
      </c>
      <c r="U384" t="str">
        <f>"24, 7"</f>
        <v>24, 7</v>
      </c>
      <c r="AC384" t="str">
        <f>"2019-09-01T00:00:00"</f>
        <v>2019-09-01T00:00:00</v>
      </c>
      <c r="AD384" t="str">
        <f>"178"</f>
        <v>178</v>
      </c>
      <c r="AG384" t="s">
        <v>202</v>
      </c>
      <c r="AH384" t="str">
        <f>"ckool007@mail.ru"</f>
        <v>ckool007@mail.ru</v>
      </c>
      <c r="AI384" t="s">
        <v>203</v>
      </c>
      <c r="AJ384" t="s">
        <v>204</v>
      </c>
      <c r="AK384" t="s">
        <v>261</v>
      </c>
      <c r="AL384" t="s">
        <v>206</v>
      </c>
      <c r="AN384" t="s">
        <v>207</v>
      </c>
      <c r="AO384">
        <v>1</v>
      </c>
      <c r="AP384" t="s">
        <v>208</v>
      </c>
      <c r="AQ384" t="s">
        <v>209</v>
      </c>
      <c r="AR384" t="s">
        <v>210</v>
      </c>
      <c r="AV384" t="str">
        <f>"2021-01-24T23:21:51"</f>
        <v>2021-01-24T23:21:51</v>
      </c>
      <c r="AW384" t="s">
        <v>206</v>
      </c>
      <c r="AX384" t="s">
        <v>211</v>
      </c>
      <c r="AZ384" t="s">
        <v>209</v>
      </c>
      <c r="BI384" t="s">
        <v>212</v>
      </c>
      <c r="BJ384" t="s">
        <v>213</v>
      </c>
      <c r="BK384" t="s">
        <v>214</v>
      </c>
      <c r="BL384" t="s">
        <v>215</v>
      </c>
      <c r="BN384" t="s">
        <v>216</v>
      </c>
      <c r="BO384" t="s">
        <v>209</v>
      </c>
      <c r="BP384" t="s">
        <v>241</v>
      </c>
      <c r="BQ384">
        <v>4</v>
      </c>
      <c r="BS384" t="s">
        <v>219</v>
      </c>
      <c r="BT384" t="s">
        <v>220</v>
      </c>
      <c r="BU384" t="s">
        <v>206</v>
      </c>
      <c r="BX384" t="s">
        <v>234</v>
      </c>
      <c r="BY384" t="s">
        <v>234</v>
      </c>
      <c r="CA384" t="s">
        <v>263</v>
      </c>
      <c r="CB384" t="s">
        <v>223</v>
      </c>
      <c r="CC384" t="s">
        <v>209</v>
      </c>
      <c r="CE384" t="s">
        <v>242</v>
      </c>
      <c r="CJ384" t="s">
        <v>206</v>
      </c>
      <c r="CK384" t="s">
        <v>230</v>
      </c>
      <c r="CL384" t="s">
        <v>231</v>
      </c>
      <c r="CM384" t="s">
        <v>232</v>
      </c>
      <c r="CN384" t="s">
        <v>233</v>
      </c>
      <c r="CP384" t="s">
        <v>212</v>
      </c>
      <c r="CQ384" t="s">
        <v>212</v>
      </c>
      <c r="CR384" t="s">
        <v>212</v>
      </c>
      <c r="CS384" t="s">
        <v>212</v>
      </c>
      <c r="CY384" t="s">
        <v>212</v>
      </c>
      <c r="DB384" t="s">
        <v>234</v>
      </c>
      <c r="DE384" t="s">
        <v>212</v>
      </c>
      <c r="DF384" t="s">
        <v>212</v>
      </c>
      <c r="DG384" t="s">
        <v>235</v>
      </c>
      <c r="DH384" t="s">
        <v>212</v>
      </c>
      <c r="DJ384" t="s">
        <v>236</v>
      </c>
      <c r="DM384" t="s">
        <v>212</v>
      </c>
    </row>
    <row r="385" spans="1:117" x14ac:dyDescent="0.3">
      <c r="A385">
        <v>12920497</v>
      </c>
      <c r="B385">
        <v>270283</v>
      </c>
      <c r="C385" t="str">
        <f>"080902654026"</f>
        <v>080902654026</v>
      </c>
      <c r="D385" t="s">
        <v>1267</v>
      </c>
      <c r="E385" t="s">
        <v>1268</v>
      </c>
      <c r="F385" t="s">
        <v>1269</v>
      </c>
      <c r="G385" s="1">
        <v>39693</v>
      </c>
      <c r="I385" t="s">
        <v>199</v>
      </c>
      <c r="J385" t="s">
        <v>200</v>
      </c>
      <c r="K385" t="s">
        <v>260</v>
      </c>
      <c r="Q385" t="s">
        <v>212</v>
      </c>
      <c r="R385" t="str">
        <f>"АНДОРРА, АКМОЛИНСКАЯ, СТЕПНОГОРСК, 18, 811"</f>
        <v>АНДОРРА, АКМОЛИНСКАЯ, СТЕПНОГОРСК, 18, 811</v>
      </c>
      <c r="S385" t="str">
        <f>"АНДОРРА, АҚМОЛА, СТЕПНОГОР, 18, 811"</f>
        <v>АНДОРРА, АҚМОЛА, СТЕПНОГОР, 18, 811</v>
      </c>
      <c r="T385" t="str">
        <f>"18, 811"</f>
        <v>18, 811</v>
      </c>
      <c r="U385" t="str">
        <f>"18, 811"</f>
        <v>18, 811</v>
      </c>
      <c r="AC385" t="str">
        <f>"2019-09-01T00:00:00"</f>
        <v>2019-09-01T00:00:00</v>
      </c>
      <c r="AD385" t="str">
        <f>"172"</f>
        <v>172</v>
      </c>
      <c r="AG385" t="s">
        <v>202</v>
      </c>
      <c r="AH385" t="str">
        <f>"ckool007@mail.ru"</f>
        <v>ckool007@mail.ru</v>
      </c>
      <c r="AI385" t="s">
        <v>299</v>
      </c>
      <c r="AJ385" t="s">
        <v>204</v>
      </c>
      <c r="AK385" t="s">
        <v>261</v>
      </c>
      <c r="AL385" t="s">
        <v>206</v>
      </c>
      <c r="AN385" t="s">
        <v>207</v>
      </c>
      <c r="AO385">
        <v>1</v>
      </c>
      <c r="AP385" t="s">
        <v>208</v>
      </c>
      <c r="AQ385" t="s">
        <v>209</v>
      </c>
      <c r="AR385" t="s">
        <v>210</v>
      </c>
      <c r="AV385" t="str">
        <f>"2021-01-24T23:43:49"</f>
        <v>2021-01-24T23:43:49</v>
      </c>
      <c r="AW385" t="s">
        <v>206</v>
      </c>
      <c r="AX385" t="s">
        <v>211</v>
      </c>
      <c r="AZ385" t="s">
        <v>209</v>
      </c>
      <c r="BI385" t="s">
        <v>212</v>
      </c>
      <c r="BJ385" t="s">
        <v>213</v>
      </c>
      <c r="BK385" t="s">
        <v>214</v>
      </c>
      <c r="BL385" t="s">
        <v>215</v>
      </c>
      <c r="BN385" t="s">
        <v>247</v>
      </c>
      <c r="BO385" t="s">
        <v>209</v>
      </c>
      <c r="BP385" t="s">
        <v>241</v>
      </c>
      <c r="BQ385">
        <v>3</v>
      </c>
      <c r="BS385" t="s">
        <v>219</v>
      </c>
      <c r="BT385" t="s">
        <v>220</v>
      </c>
      <c r="BU385" t="s">
        <v>206</v>
      </c>
      <c r="BX385" t="s">
        <v>221</v>
      </c>
      <c r="BY385" t="s">
        <v>221</v>
      </c>
      <c r="CA385" t="s">
        <v>263</v>
      </c>
      <c r="CB385" t="s">
        <v>223</v>
      </c>
      <c r="CC385" t="s">
        <v>209</v>
      </c>
      <c r="CE385" t="s">
        <v>242</v>
      </c>
      <c r="CJ385" t="s">
        <v>206</v>
      </c>
      <c r="CK385" t="s">
        <v>230</v>
      </c>
      <c r="CL385" t="s">
        <v>231</v>
      </c>
      <c r="CM385" t="s">
        <v>232</v>
      </c>
      <c r="CN385" t="s">
        <v>233</v>
      </c>
      <c r="CP385" t="s">
        <v>212</v>
      </c>
      <c r="CQ385" t="s">
        <v>212</v>
      </c>
      <c r="CR385" t="s">
        <v>212</v>
      </c>
      <c r="CS385" t="s">
        <v>212</v>
      </c>
      <c r="CY385" t="s">
        <v>212</v>
      </c>
      <c r="DB385" t="s">
        <v>234</v>
      </c>
      <c r="DE385" t="s">
        <v>212</v>
      </c>
      <c r="DF385" t="s">
        <v>212</v>
      </c>
      <c r="DG385" t="s">
        <v>235</v>
      </c>
      <c r="DH385" t="s">
        <v>212</v>
      </c>
      <c r="DJ385" t="s">
        <v>236</v>
      </c>
      <c r="DM385" t="s">
        <v>212</v>
      </c>
    </row>
    <row r="386" spans="1:117" x14ac:dyDescent="0.3">
      <c r="A386">
        <v>12920236</v>
      </c>
      <c r="B386">
        <v>279884</v>
      </c>
      <c r="C386" t="str">
        <f>"110414602425"</f>
        <v>110414602425</v>
      </c>
      <c r="D386" t="s">
        <v>1270</v>
      </c>
      <c r="E386" t="s">
        <v>1271</v>
      </c>
      <c r="F386" t="s">
        <v>1248</v>
      </c>
      <c r="G386" s="1">
        <v>40647</v>
      </c>
      <c r="I386" t="s">
        <v>199</v>
      </c>
      <c r="J386" t="s">
        <v>200</v>
      </c>
      <c r="K386" t="s">
        <v>260</v>
      </c>
      <c r="R386" t="str">
        <f>"АНДОРРА, АКМОЛИНСКАЯ, СТЕПНОГОРСК, 32, 21"</f>
        <v>АНДОРРА, АКМОЛИНСКАЯ, СТЕПНОГОРСК, 32, 21</v>
      </c>
      <c r="S386" t="str">
        <f>"АНДОРРА, АҚМОЛА, СТЕПНОГОР, 32, 21"</f>
        <v>АНДОРРА, АҚМОЛА, СТЕПНОГОР, 32, 21</v>
      </c>
      <c r="T386" t="str">
        <f>"32, 21"</f>
        <v>32, 21</v>
      </c>
      <c r="U386" t="str">
        <f>"32, 21"</f>
        <v>32, 21</v>
      </c>
      <c r="AC386" t="str">
        <f>"2019-08-29T00:00:00"</f>
        <v>2019-08-29T00:00:00</v>
      </c>
      <c r="AD386" t="str">
        <f>"166"</f>
        <v>166</v>
      </c>
      <c r="AG386" t="s">
        <v>202</v>
      </c>
      <c r="AI386" t="s">
        <v>203</v>
      </c>
      <c r="AJ386" t="s">
        <v>300</v>
      </c>
      <c r="AK386" t="s">
        <v>261</v>
      </c>
      <c r="AL386" t="s">
        <v>206</v>
      </c>
      <c r="AN386" t="s">
        <v>207</v>
      </c>
      <c r="AO386">
        <v>1</v>
      </c>
      <c r="AP386" t="s">
        <v>208</v>
      </c>
      <c r="AQ386" t="s">
        <v>209</v>
      </c>
      <c r="AR386" t="s">
        <v>210</v>
      </c>
      <c r="AW386" t="s">
        <v>206</v>
      </c>
      <c r="AX386" t="s">
        <v>211</v>
      </c>
      <c r="AZ386" t="s">
        <v>209</v>
      </c>
      <c r="BI386" t="s">
        <v>212</v>
      </c>
      <c r="BJ386" t="s">
        <v>213</v>
      </c>
      <c r="BK386" t="s">
        <v>214</v>
      </c>
      <c r="BL386" t="s">
        <v>215</v>
      </c>
      <c r="BN386" t="s">
        <v>216</v>
      </c>
      <c r="BO386" t="s">
        <v>209</v>
      </c>
      <c r="BP386" t="s">
        <v>241</v>
      </c>
      <c r="BQ386">
        <v>4</v>
      </c>
      <c r="BS386" t="s">
        <v>219</v>
      </c>
      <c r="BT386" t="s">
        <v>220</v>
      </c>
      <c r="BU386" t="s">
        <v>206</v>
      </c>
      <c r="BX386" t="s">
        <v>221</v>
      </c>
      <c r="BY386" t="s">
        <v>221</v>
      </c>
      <c r="CA386" t="s">
        <v>222</v>
      </c>
      <c r="CB386" t="s">
        <v>223</v>
      </c>
      <c r="CC386" t="s">
        <v>317</v>
      </c>
      <c r="CD386" t="s">
        <v>223</v>
      </c>
      <c r="CE386" t="s">
        <v>242</v>
      </c>
      <c r="CJ386" t="s">
        <v>206</v>
      </c>
      <c r="CK386" t="s">
        <v>230</v>
      </c>
      <c r="CL386" t="s">
        <v>231</v>
      </c>
      <c r="CM386" t="s">
        <v>232</v>
      </c>
      <c r="CN386" t="s">
        <v>233</v>
      </c>
      <c r="CP386" t="s">
        <v>212</v>
      </c>
      <c r="CQ386" t="s">
        <v>212</v>
      </c>
      <c r="CR386" t="s">
        <v>212</v>
      </c>
      <c r="CS386" t="s">
        <v>212</v>
      </c>
      <c r="CY386" t="s">
        <v>212</v>
      </c>
      <c r="DB386" t="s">
        <v>234</v>
      </c>
      <c r="DE386" t="s">
        <v>212</v>
      </c>
      <c r="DF386" t="s">
        <v>212</v>
      </c>
      <c r="DG386" t="s">
        <v>235</v>
      </c>
      <c r="DH386" t="s">
        <v>212</v>
      </c>
      <c r="DJ386" t="s">
        <v>236</v>
      </c>
      <c r="DM386" t="s">
        <v>212</v>
      </c>
    </row>
    <row r="387" spans="1:117" x14ac:dyDescent="0.3">
      <c r="A387">
        <v>25821623</v>
      </c>
      <c r="B387">
        <v>278326</v>
      </c>
      <c r="C387" t="str">
        <f>"110110602809"</f>
        <v>110110602809</v>
      </c>
      <c r="D387" t="s">
        <v>1272</v>
      </c>
      <c r="E387" t="s">
        <v>1100</v>
      </c>
      <c r="F387" t="s">
        <v>1115</v>
      </c>
      <c r="G387" s="1">
        <v>40553</v>
      </c>
      <c r="I387" t="s">
        <v>199</v>
      </c>
      <c r="J387" t="s">
        <v>200</v>
      </c>
      <c r="K387" t="s">
        <v>260</v>
      </c>
      <c r="Q387" t="s">
        <v>212</v>
      </c>
      <c r="R387" t="str">
        <f>"КАЗАХСТАН, АКМОЛИНСКАЯ, СТЕПНОГОРСК, 64/1, 1"</f>
        <v>КАЗАХСТАН, АКМОЛИНСКАЯ, СТЕПНОГОРСК, 64/1, 1</v>
      </c>
      <c r="S387" t="str">
        <f>"ҚАЗАҚСТАН, АҚМОЛА, СТЕПНОГОР, 64/1, 1"</f>
        <v>ҚАЗАҚСТАН, АҚМОЛА, СТЕПНОГОР, 64/1, 1</v>
      </c>
      <c r="T387" t="str">
        <f>"64/1, 1"</f>
        <v>64/1, 1</v>
      </c>
      <c r="U387" t="str">
        <f>"64/1, 1"</f>
        <v>64/1, 1</v>
      </c>
      <c r="AC387" t="str">
        <f>"2023-08-21T00:00:00"</f>
        <v>2023-08-21T00:00:00</v>
      </c>
      <c r="AD387" t="str">
        <f>"59/1"</f>
        <v>59/1</v>
      </c>
      <c r="AG387" t="s">
        <v>202</v>
      </c>
      <c r="AI387" t="s">
        <v>269</v>
      </c>
      <c r="AJ387" t="s">
        <v>300</v>
      </c>
      <c r="AK387" t="s">
        <v>205</v>
      </c>
      <c r="AL387" t="s">
        <v>206</v>
      </c>
      <c r="AN387" t="s">
        <v>207</v>
      </c>
      <c r="AO387">
        <v>1</v>
      </c>
      <c r="AP387" t="s">
        <v>208</v>
      </c>
      <c r="AQ387" t="s">
        <v>209</v>
      </c>
      <c r="AR387" t="s">
        <v>210</v>
      </c>
      <c r="AW387" t="s">
        <v>206</v>
      </c>
      <c r="AX387" t="s">
        <v>211</v>
      </c>
      <c r="AZ387" t="s">
        <v>209</v>
      </c>
      <c r="BI387" t="s">
        <v>212</v>
      </c>
      <c r="BJ387" t="s">
        <v>213</v>
      </c>
      <c r="BK387" t="s">
        <v>214</v>
      </c>
      <c r="BL387" t="s">
        <v>215</v>
      </c>
      <c r="BN387" t="s">
        <v>247</v>
      </c>
      <c r="BO387" t="s">
        <v>209</v>
      </c>
      <c r="BP387" t="s">
        <v>241</v>
      </c>
      <c r="BQ387">
        <v>3</v>
      </c>
      <c r="BS387" t="s">
        <v>219</v>
      </c>
      <c r="BT387" t="s">
        <v>220</v>
      </c>
      <c r="BU387" t="s">
        <v>206</v>
      </c>
      <c r="CA387" t="s">
        <v>287</v>
      </c>
      <c r="CC387" t="s">
        <v>209</v>
      </c>
      <c r="CE387" t="s">
        <v>242</v>
      </c>
      <c r="CJ387" t="s">
        <v>206</v>
      </c>
      <c r="CK387" t="s">
        <v>230</v>
      </c>
      <c r="CL387" t="s">
        <v>231</v>
      </c>
      <c r="CM387" t="s">
        <v>232</v>
      </c>
      <c r="CN387" t="s">
        <v>233</v>
      </c>
      <c r="CP387" t="s">
        <v>212</v>
      </c>
      <c r="CQ387" t="s">
        <v>212</v>
      </c>
      <c r="CR387" t="s">
        <v>212</v>
      </c>
      <c r="CS387" t="s">
        <v>212</v>
      </c>
      <c r="CY387" t="s">
        <v>212</v>
      </c>
      <c r="DB387" t="s">
        <v>234</v>
      </c>
      <c r="DE387" t="s">
        <v>212</v>
      </c>
      <c r="DF387" t="s">
        <v>212</v>
      </c>
      <c r="DG387" t="s">
        <v>235</v>
      </c>
      <c r="DH387" t="s">
        <v>212</v>
      </c>
      <c r="DJ387" t="s">
        <v>236</v>
      </c>
      <c r="DM387" t="s">
        <v>212</v>
      </c>
    </row>
    <row r="388" spans="1:117" x14ac:dyDescent="0.3">
      <c r="A388">
        <v>25834709</v>
      </c>
      <c r="B388">
        <v>264992</v>
      </c>
      <c r="C388" t="str">
        <f>"080209553024"</f>
        <v>080209553024</v>
      </c>
      <c r="D388" t="s">
        <v>905</v>
      </c>
      <c r="E388" t="s">
        <v>1273</v>
      </c>
      <c r="F388" t="s">
        <v>1274</v>
      </c>
      <c r="G388" s="1">
        <v>39487</v>
      </c>
      <c r="I388" t="s">
        <v>240</v>
      </c>
      <c r="J388" t="s">
        <v>200</v>
      </c>
      <c r="K388" t="s">
        <v>201</v>
      </c>
      <c r="R388" t="str">
        <f>"КАЗАХСТАН, АКМОЛИНСКАЯ, СТЕПНОГОРСК, 86, 49"</f>
        <v>КАЗАХСТАН, АКМОЛИНСКАЯ, СТЕПНОГОРСК, 86, 49</v>
      </c>
      <c r="S388" t="str">
        <f>"ҚАЗАҚСТАН, АҚМОЛА, СТЕПНОГОР, 86, 49"</f>
        <v>ҚАЗАҚСТАН, АҚМОЛА, СТЕПНОГОР, 86, 49</v>
      </c>
      <c r="T388" t="str">
        <f>"86, 49"</f>
        <v>86, 49</v>
      </c>
      <c r="U388" t="str">
        <f>"86, 49"</f>
        <v>86, 49</v>
      </c>
      <c r="AC388" t="str">
        <f>"2023-08-25T00:00:00"</f>
        <v>2023-08-25T00:00:00</v>
      </c>
      <c r="AD388" t="str">
        <f>"200"</f>
        <v>200</v>
      </c>
      <c r="AG388" t="s">
        <v>202</v>
      </c>
      <c r="AH388" t="str">
        <f>"ckool007@mail.ru"</f>
        <v>ckool007@mail.ru</v>
      </c>
      <c r="AI388" t="s">
        <v>274</v>
      </c>
      <c r="AJ388" t="s">
        <v>1157</v>
      </c>
      <c r="AK388" t="s">
        <v>253</v>
      </c>
      <c r="AL388" t="s">
        <v>206</v>
      </c>
      <c r="AN388" t="s">
        <v>254</v>
      </c>
      <c r="AO388">
        <v>1</v>
      </c>
      <c r="AP388" t="s">
        <v>208</v>
      </c>
      <c r="AQ388" t="s">
        <v>209</v>
      </c>
      <c r="AR388" t="s">
        <v>210</v>
      </c>
      <c r="AW388" t="s">
        <v>206</v>
      </c>
      <c r="AX388" t="s">
        <v>211</v>
      </c>
      <c r="AZ388" t="s">
        <v>209</v>
      </c>
      <c r="BI388" t="s">
        <v>212</v>
      </c>
      <c r="BJ388" t="s">
        <v>213</v>
      </c>
      <c r="BK388" t="s">
        <v>214</v>
      </c>
      <c r="BL388" t="s">
        <v>215</v>
      </c>
      <c r="BN388" t="s">
        <v>216</v>
      </c>
      <c r="BO388" t="s">
        <v>209</v>
      </c>
      <c r="BP388" t="s">
        <v>241</v>
      </c>
      <c r="BQ388">
        <v>4</v>
      </c>
      <c r="BS388" t="s">
        <v>219</v>
      </c>
      <c r="BT388" t="s">
        <v>220</v>
      </c>
      <c r="BU388" t="s">
        <v>206</v>
      </c>
      <c r="BX388" t="s">
        <v>221</v>
      </c>
      <c r="BY388" t="s">
        <v>221</v>
      </c>
      <c r="CA388" t="s">
        <v>249</v>
      </c>
      <c r="CB388" t="s">
        <v>223</v>
      </c>
      <c r="CC388" t="s">
        <v>222</v>
      </c>
      <c r="CD388" t="s">
        <v>223</v>
      </c>
      <c r="CE388" t="s">
        <v>242</v>
      </c>
      <c r="CJ388" t="s">
        <v>206</v>
      </c>
      <c r="CK388" t="s">
        <v>474</v>
      </c>
      <c r="CM388" t="s">
        <v>292</v>
      </c>
      <c r="CN388" t="s">
        <v>233</v>
      </c>
      <c r="CP388" t="s">
        <v>212</v>
      </c>
      <c r="CQ388" t="s">
        <v>212</v>
      </c>
      <c r="CR388" t="s">
        <v>212</v>
      </c>
      <c r="CS388" t="s">
        <v>212</v>
      </c>
      <c r="CY388" t="s">
        <v>212</v>
      </c>
      <c r="DB388" t="s">
        <v>234</v>
      </c>
      <c r="DE388" t="s">
        <v>212</v>
      </c>
      <c r="DF388" t="s">
        <v>212</v>
      </c>
      <c r="DG388" t="s">
        <v>235</v>
      </c>
      <c r="DH388" t="s">
        <v>212</v>
      </c>
      <c r="DJ388" t="s">
        <v>236</v>
      </c>
      <c r="DM388" t="s">
        <v>206</v>
      </c>
    </row>
    <row r="389" spans="1:117" x14ac:dyDescent="0.3">
      <c r="A389">
        <v>25834712</v>
      </c>
      <c r="B389">
        <v>132931</v>
      </c>
      <c r="C389" t="str">
        <f>"071005653072"</f>
        <v>071005653072</v>
      </c>
      <c r="D389" t="s">
        <v>1275</v>
      </c>
      <c r="E389" t="s">
        <v>1276</v>
      </c>
      <c r="F389" t="s">
        <v>447</v>
      </c>
      <c r="G389" s="1">
        <v>39360</v>
      </c>
      <c r="I389" t="s">
        <v>199</v>
      </c>
      <c r="J389" t="s">
        <v>200</v>
      </c>
      <c r="K389" t="s">
        <v>201</v>
      </c>
      <c r="R389" t="str">
        <f>"КАЗАХСТАН, АКМОЛИНСКАЯ, СТЕПНОГОРСК, Бестобе, 20"</f>
        <v>КАЗАХСТАН, АКМОЛИНСКАЯ, СТЕПНОГОРСК, Бестобе, 20</v>
      </c>
      <c r="S389" t="str">
        <f>"ҚАЗАҚСТАН, АҚМОЛА, СТЕПНОГОР, Бестобе, 20"</f>
        <v>ҚАЗАҚСТАН, АҚМОЛА, СТЕПНОГОР, Бестобе, 20</v>
      </c>
      <c r="T389" t="str">
        <f>"Бестобе, 20"</f>
        <v>Бестобе, 20</v>
      </c>
      <c r="U389" t="str">
        <f>"Бестобе, 20"</f>
        <v>Бестобе, 20</v>
      </c>
      <c r="AC389" t="str">
        <f>"2023-08-25T00:00:00"</f>
        <v>2023-08-25T00:00:00</v>
      </c>
      <c r="AD389" t="str">
        <f>"200"</f>
        <v>200</v>
      </c>
      <c r="AG389" t="s">
        <v>202</v>
      </c>
      <c r="AH389" t="str">
        <f>"bosh4@mail.ru"</f>
        <v>bosh4@mail.ru</v>
      </c>
      <c r="AI389" t="s">
        <v>274</v>
      </c>
      <c r="AJ389" t="s">
        <v>1157</v>
      </c>
      <c r="AK389" t="s">
        <v>253</v>
      </c>
      <c r="AL389" t="s">
        <v>206</v>
      </c>
      <c r="AN389" t="s">
        <v>254</v>
      </c>
      <c r="AO389">
        <v>1</v>
      </c>
      <c r="AP389" t="s">
        <v>208</v>
      </c>
      <c r="AQ389" t="s">
        <v>209</v>
      </c>
      <c r="AR389" t="s">
        <v>210</v>
      </c>
      <c r="AW389" t="s">
        <v>206</v>
      </c>
      <c r="AX389" t="s">
        <v>211</v>
      </c>
      <c r="AZ389" t="s">
        <v>209</v>
      </c>
      <c r="BI389" t="s">
        <v>212</v>
      </c>
      <c r="BJ389" t="s">
        <v>213</v>
      </c>
      <c r="BK389" t="s">
        <v>214</v>
      </c>
      <c r="BL389" t="s">
        <v>215</v>
      </c>
      <c r="BN389" t="s">
        <v>216</v>
      </c>
      <c r="BO389" t="s">
        <v>209</v>
      </c>
      <c r="BP389" t="s">
        <v>241</v>
      </c>
      <c r="BQ389">
        <v>4</v>
      </c>
      <c r="BS389" t="s">
        <v>219</v>
      </c>
      <c r="BT389" t="s">
        <v>220</v>
      </c>
      <c r="BU389" t="s">
        <v>206</v>
      </c>
      <c r="CA389" t="s">
        <v>222</v>
      </c>
      <c r="CB389" t="s">
        <v>223</v>
      </c>
      <c r="CC389" t="s">
        <v>222</v>
      </c>
      <c r="CD389" t="s">
        <v>223</v>
      </c>
      <c r="CE389" t="s">
        <v>242</v>
      </c>
      <c r="CJ389" t="s">
        <v>206</v>
      </c>
      <c r="CK389" t="s">
        <v>474</v>
      </c>
      <c r="CM389" t="s">
        <v>292</v>
      </c>
      <c r="CN389" t="s">
        <v>233</v>
      </c>
      <c r="CP389" t="s">
        <v>212</v>
      </c>
      <c r="CQ389" t="s">
        <v>212</v>
      </c>
      <c r="CR389" t="s">
        <v>212</v>
      </c>
      <c r="CS389" t="s">
        <v>212</v>
      </c>
      <c r="CY389" t="s">
        <v>212</v>
      </c>
      <c r="DB389" t="s">
        <v>234</v>
      </c>
      <c r="DE389" t="s">
        <v>212</v>
      </c>
      <c r="DF389" t="s">
        <v>212</v>
      </c>
      <c r="DG389" t="s">
        <v>235</v>
      </c>
      <c r="DH389" t="s">
        <v>212</v>
      </c>
      <c r="DJ389" t="s">
        <v>236</v>
      </c>
      <c r="DM389" t="s">
        <v>212</v>
      </c>
    </row>
    <row r="390" spans="1:117" x14ac:dyDescent="0.3">
      <c r="A390">
        <v>25834714</v>
      </c>
      <c r="B390">
        <v>182254</v>
      </c>
      <c r="C390" t="str">
        <f>"071220550162"</f>
        <v>071220550162</v>
      </c>
      <c r="D390" t="s">
        <v>1206</v>
      </c>
      <c r="E390" t="s">
        <v>548</v>
      </c>
      <c r="F390" t="s">
        <v>1208</v>
      </c>
      <c r="G390" s="1">
        <v>39436</v>
      </c>
      <c r="I390" t="s">
        <v>240</v>
      </c>
      <c r="J390" t="s">
        <v>200</v>
      </c>
      <c r="K390" t="s">
        <v>201</v>
      </c>
      <c r="R390" t="str">
        <f>"КАЗАХСТАН, АКМОЛИНСКАЯ, СТЕПНОГОРСК, 10, 105"</f>
        <v>КАЗАХСТАН, АКМОЛИНСКАЯ, СТЕПНОГОРСК, 10, 105</v>
      </c>
      <c r="S390" t="str">
        <f>"ҚАЗАҚСТАН, АҚМОЛА, СТЕПНОГОР, 10, 105"</f>
        <v>ҚАЗАҚСТАН, АҚМОЛА, СТЕПНОГОР, 10, 105</v>
      </c>
      <c r="T390" t="str">
        <f>"10, 105"</f>
        <v>10, 105</v>
      </c>
      <c r="U390" t="str">
        <f>"10, 105"</f>
        <v>10, 105</v>
      </c>
      <c r="AC390" t="str">
        <f>"2023-08-25T00:00:00"</f>
        <v>2023-08-25T00:00:00</v>
      </c>
      <c r="AD390" t="str">
        <f>"200"</f>
        <v>200</v>
      </c>
      <c r="AG390" t="s">
        <v>202</v>
      </c>
      <c r="AH390" t="str">
        <f>"ckool007@mail.ru"</f>
        <v>ckool007@mail.ru</v>
      </c>
      <c r="AI390" t="s">
        <v>274</v>
      </c>
      <c r="AJ390" t="s">
        <v>1157</v>
      </c>
      <c r="AK390" t="s">
        <v>253</v>
      </c>
      <c r="AL390" t="s">
        <v>206</v>
      </c>
      <c r="AN390" t="s">
        <v>254</v>
      </c>
      <c r="AO390">
        <v>1</v>
      </c>
      <c r="AP390" t="s">
        <v>208</v>
      </c>
      <c r="AQ390" t="s">
        <v>209</v>
      </c>
      <c r="AR390" t="s">
        <v>210</v>
      </c>
      <c r="AW390" t="s">
        <v>206</v>
      </c>
      <c r="AX390" t="s">
        <v>211</v>
      </c>
      <c r="AZ390" t="s">
        <v>209</v>
      </c>
      <c r="BI390" t="s">
        <v>212</v>
      </c>
      <c r="BJ390" t="s">
        <v>213</v>
      </c>
      <c r="BK390" t="s">
        <v>214</v>
      </c>
      <c r="BL390" t="s">
        <v>215</v>
      </c>
      <c r="BN390" t="s">
        <v>216</v>
      </c>
      <c r="BO390" t="s">
        <v>209</v>
      </c>
      <c r="BP390" t="s">
        <v>241</v>
      </c>
      <c r="BQ390">
        <v>4</v>
      </c>
      <c r="BS390" t="s">
        <v>219</v>
      </c>
      <c r="BT390" t="s">
        <v>220</v>
      </c>
      <c r="BU390" t="s">
        <v>206</v>
      </c>
      <c r="BX390" t="s">
        <v>221</v>
      </c>
      <c r="BY390" t="s">
        <v>221</v>
      </c>
      <c r="CA390" t="s">
        <v>287</v>
      </c>
      <c r="CC390" t="s">
        <v>334</v>
      </c>
      <c r="CD390" t="s">
        <v>223</v>
      </c>
      <c r="CE390" t="s">
        <v>342</v>
      </c>
      <c r="CF390" t="s">
        <v>610</v>
      </c>
      <c r="CG390" t="s">
        <v>343</v>
      </c>
      <c r="CH390" t="s">
        <v>228</v>
      </c>
      <c r="CI390" t="s">
        <v>1277</v>
      </c>
      <c r="CJ390" t="s">
        <v>206</v>
      </c>
      <c r="CK390" t="s">
        <v>474</v>
      </c>
      <c r="CM390" t="s">
        <v>292</v>
      </c>
      <c r="CN390" t="s">
        <v>233</v>
      </c>
      <c r="CP390" t="s">
        <v>212</v>
      </c>
      <c r="CQ390" t="s">
        <v>212</v>
      </c>
      <c r="CR390" t="s">
        <v>212</v>
      </c>
      <c r="CS390" t="s">
        <v>212</v>
      </c>
      <c r="CY390" t="s">
        <v>212</v>
      </c>
      <c r="DB390" t="s">
        <v>234</v>
      </c>
      <c r="DE390" t="s">
        <v>212</v>
      </c>
      <c r="DF390" t="s">
        <v>212</v>
      </c>
      <c r="DG390" t="s">
        <v>235</v>
      </c>
      <c r="DH390" t="s">
        <v>212</v>
      </c>
      <c r="DJ390" t="s">
        <v>236</v>
      </c>
      <c r="DM390" t="s">
        <v>206</v>
      </c>
    </row>
    <row r="391" spans="1:117" x14ac:dyDescent="0.3">
      <c r="A391">
        <v>25834717</v>
      </c>
      <c r="B391">
        <v>310233</v>
      </c>
      <c r="C391" t="str">
        <f>"080111654105"</f>
        <v>080111654105</v>
      </c>
      <c r="D391" t="s">
        <v>358</v>
      </c>
      <c r="E391" t="s">
        <v>1278</v>
      </c>
      <c r="F391" t="s">
        <v>360</v>
      </c>
      <c r="G391" s="1">
        <v>39458</v>
      </c>
      <c r="I391" t="s">
        <v>199</v>
      </c>
      <c r="J391" t="s">
        <v>200</v>
      </c>
      <c r="K391" t="s">
        <v>201</v>
      </c>
      <c r="R391" t="str">
        <f>"КАЗАХСТАН, АКМОЛИНСКАЯ, СТЕПНОГОРСК, 12, 116"</f>
        <v>КАЗАХСТАН, АКМОЛИНСКАЯ, СТЕПНОГОРСК, 12, 116</v>
      </c>
      <c r="S391" t="str">
        <f>"ҚАЗАҚСТАН, АҚМОЛА, СТЕПНОГОР, 12, 116"</f>
        <v>ҚАЗАҚСТАН, АҚМОЛА, СТЕПНОГОР, 12, 116</v>
      </c>
      <c r="T391" t="str">
        <f>"12, 116"</f>
        <v>12, 116</v>
      </c>
      <c r="U391" t="str">
        <f>"12, 116"</f>
        <v>12, 116</v>
      </c>
      <c r="AC391" t="str">
        <f>"2023-08-25T00:00:00"</f>
        <v>2023-08-25T00:00:00</v>
      </c>
      <c r="AD391" t="str">
        <f>"200"</f>
        <v>200</v>
      </c>
      <c r="AG391" t="s">
        <v>202</v>
      </c>
      <c r="AH391" t="str">
        <f>"ckool007@mail.ru"</f>
        <v>ckool007@mail.ru</v>
      </c>
      <c r="AI391" t="s">
        <v>203</v>
      </c>
      <c r="AJ391" t="s">
        <v>1157</v>
      </c>
      <c r="AK391" t="s">
        <v>253</v>
      </c>
      <c r="AL391" t="s">
        <v>206</v>
      </c>
      <c r="AN391" t="s">
        <v>254</v>
      </c>
      <c r="AO391">
        <v>1</v>
      </c>
      <c r="AP391" t="s">
        <v>208</v>
      </c>
      <c r="AQ391" t="s">
        <v>209</v>
      </c>
      <c r="AR391" t="s">
        <v>307</v>
      </c>
      <c r="AW391" t="s">
        <v>206</v>
      </c>
      <c r="AX391" t="s">
        <v>211</v>
      </c>
      <c r="AZ391" t="s">
        <v>209</v>
      </c>
      <c r="BI391" t="s">
        <v>212</v>
      </c>
      <c r="BJ391" t="s">
        <v>213</v>
      </c>
      <c r="BK391" t="s">
        <v>214</v>
      </c>
      <c r="BL391" t="s">
        <v>215</v>
      </c>
      <c r="BN391" t="s">
        <v>281</v>
      </c>
      <c r="BO391" t="s">
        <v>209</v>
      </c>
      <c r="BP391" t="s">
        <v>217</v>
      </c>
      <c r="BQ391" t="s">
        <v>378</v>
      </c>
      <c r="BS391" t="s">
        <v>219</v>
      </c>
      <c r="BT391" t="s">
        <v>220</v>
      </c>
      <c r="BU391" t="s">
        <v>206</v>
      </c>
      <c r="BX391" t="s">
        <v>221</v>
      </c>
      <c r="BY391" t="s">
        <v>221</v>
      </c>
      <c r="CA391" t="s">
        <v>263</v>
      </c>
      <c r="CB391" t="s">
        <v>223</v>
      </c>
      <c r="CC391" t="s">
        <v>353</v>
      </c>
      <c r="CD391" t="s">
        <v>223</v>
      </c>
      <c r="CE391" t="s">
        <v>342</v>
      </c>
      <c r="CF391" t="s">
        <v>391</v>
      </c>
      <c r="CG391" t="s">
        <v>392</v>
      </c>
      <c r="CH391" t="s">
        <v>228</v>
      </c>
      <c r="CI391" t="s">
        <v>1279</v>
      </c>
      <c r="CJ391" t="s">
        <v>206</v>
      </c>
      <c r="CK391" t="s">
        <v>1280</v>
      </c>
      <c r="CM391" t="s">
        <v>292</v>
      </c>
      <c r="CN391" t="s">
        <v>233</v>
      </c>
      <c r="CP391" t="s">
        <v>212</v>
      </c>
      <c r="CQ391" t="s">
        <v>212</v>
      </c>
      <c r="CR391" t="s">
        <v>212</v>
      </c>
      <c r="CS391" t="s">
        <v>212</v>
      </c>
      <c r="CY391" t="s">
        <v>212</v>
      </c>
      <c r="DB391" t="s">
        <v>234</v>
      </c>
      <c r="DE391" t="s">
        <v>212</v>
      </c>
      <c r="DF391" t="s">
        <v>212</v>
      </c>
      <c r="DG391" t="s">
        <v>235</v>
      </c>
      <c r="DH391" t="s">
        <v>212</v>
      </c>
      <c r="DJ391" t="s">
        <v>236</v>
      </c>
      <c r="DM391" t="s">
        <v>212</v>
      </c>
    </row>
    <row r="392" spans="1:117" x14ac:dyDescent="0.3">
      <c r="A392">
        <v>12919620</v>
      </c>
      <c r="B392">
        <v>281494</v>
      </c>
      <c r="C392" t="str">
        <f>"111113600792"</f>
        <v>111113600792</v>
      </c>
      <c r="D392" t="s">
        <v>1281</v>
      </c>
      <c r="E392" t="s">
        <v>1282</v>
      </c>
      <c r="F392" t="s">
        <v>1178</v>
      </c>
      <c r="G392" s="1">
        <v>40860</v>
      </c>
      <c r="I392" t="s">
        <v>199</v>
      </c>
      <c r="J392" t="s">
        <v>200</v>
      </c>
      <c r="K392" t="s">
        <v>201</v>
      </c>
      <c r="Q392" t="s">
        <v>212</v>
      </c>
      <c r="R392" t="str">
        <f>"КАЗАХСТАН, АКМОЛИНСКАЯ, СТЕПНОГОРСК, 33, 76"</f>
        <v>КАЗАХСТАН, АКМОЛИНСКАЯ, СТЕПНОГОРСК, 33, 76</v>
      </c>
      <c r="S392" t="str">
        <f>"ҚАЗАҚСТАН, АҚМОЛА, СТЕПНОГОР, 33, 76"</f>
        <v>ҚАЗАҚСТАН, АҚМОЛА, СТЕПНОГОР, 33, 76</v>
      </c>
      <c r="T392" t="str">
        <f>"33, 76"</f>
        <v>33, 76</v>
      </c>
      <c r="U392" t="str">
        <f>"33, 76"</f>
        <v>33, 76</v>
      </c>
      <c r="AC392" t="str">
        <f>"2019-08-29T00:00:00"</f>
        <v>2019-08-29T00:00:00</v>
      </c>
      <c r="AD392" t="str">
        <f>"165"</f>
        <v>165</v>
      </c>
      <c r="AG392" t="s">
        <v>202</v>
      </c>
      <c r="AI392" t="s">
        <v>203</v>
      </c>
      <c r="AJ392" t="s">
        <v>348</v>
      </c>
      <c r="AK392" t="s">
        <v>261</v>
      </c>
      <c r="AL392" t="s">
        <v>206</v>
      </c>
      <c r="AN392" t="s">
        <v>207</v>
      </c>
      <c r="AO392">
        <v>1</v>
      </c>
      <c r="AP392" t="s">
        <v>208</v>
      </c>
      <c r="AQ392" t="s">
        <v>209</v>
      </c>
      <c r="AR392" t="s">
        <v>210</v>
      </c>
      <c r="AW392" t="s">
        <v>206</v>
      </c>
      <c r="AX392" t="s">
        <v>211</v>
      </c>
      <c r="AZ392" t="s">
        <v>209</v>
      </c>
      <c r="BI392" t="s">
        <v>212</v>
      </c>
      <c r="BJ392" t="s">
        <v>213</v>
      </c>
      <c r="BK392" t="s">
        <v>214</v>
      </c>
      <c r="BL392" t="s">
        <v>215</v>
      </c>
      <c r="BN392" t="s">
        <v>216</v>
      </c>
      <c r="BO392" t="s">
        <v>209</v>
      </c>
      <c r="BP392" t="s">
        <v>241</v>
      </c>
      <c r="BQ392">
        <v>4</v>
      </c>
      <c r="BS392" t="s">
        <v>219</v>
      </c>
      <c r="BT392" t="s">
        <v>220</v>
      </c>
      <c r="BU392" t="s">
        <v>206</v>
      </c>
      <c r="BX392" t="s">
        <v>221</v>
      </c>
      <c r="BY392" t="s">
        <v>221</v>
      </c>
      <c r="CA392" t="s">
        <v>222</v>
      </c>
      <c r="CB392" t="s">
        <v>223</v>
      </c>
      <c r="CC392" t="s">
        <v>222</v>
      </c>
      <c r="CD392" t="s">
        <v>223</v>
      </c>
      <c r="CE392" t="s">
        <v>242</v>
      </c>
      <c r="CJ392" t="s">
        <v>206</v>
      </c>
      <c r="CK392" t="s">
        <v>230</v>
      </c>
      <c r="CL392" t="s">
        <v>231</v>
      </c>
      <c r="CM392" t="s">
        <v>232</v>
      </c>
      <c r="CN392" t="s">
        <v>233</v>
      </c>
      <c r="CP392" t="s">
        <v>212</v>
      </c>
      <c r="CQ392" t="s">
        <v>212</v>
      </c>
      <c r="CR392" t="s">
        <v>212</v>
      </c>
      <c r="CS392" t="s">
        <v>212</v>
      </c>
      <c r="CY392" t="s">
        <v>212</v>
      </c>
      <c r="DB392" t="s">
        <v>234</v>
      </c>
      <c r="DE392" t="s">
        <v>212</v>
      </c>
      <c r="DF392" t="s">
        <v>212</v>
      </c>
      <c r="DG392" t="s">
        <v>235</v>
      </c>
      <c r="DH392" t="s">
        <v>212</v>
      </c>
      <c r="DJ392" t="s">
        <v>236</v>
      </c>
      <c r="DM392" t="s">
        <v>212</v>
      </c>
    </row>
    <row r="393" spans="1:117" x14ac:dyDescent="0.3">
      <c r="A393">
        <v>12919604</v>
      </c>
      <c r="B393">
        <v>280044</v>
      </c>
      <c r="C393" t="str">
        <f>"120107501780"</f>
        <v>120107501780</v>
      </c>
      <c r="D393" t="s">
        <v>1263</v>
      </c>
      <c r="E393" t="s">
        <v>1283</v>
      </c>
      <c r="F393" t="s">
        <v>1284</v>
      </c>
      <c r="G393" s="1">
        <v>40915</v>
      </c>
      <c r="I393" t="s">
        <v>240</v>
      </c>
      <c r="J393" t="s">
        <v>200</v>
      </c>
      <c r="K393" t="s">
        <v>1266</v>
      </c>
      <c r="Q393" t="s">
        <v>212</v>
      </c>
      <c r="R393" t="str">
        <f>"КАЗАХСТАН, АКМОЛИНСКАЯ, СТЕПНОГОРСК, 24, 7"</f>
        <v>КАЗАХСТАН, АКМОЛИНСКАЯ, СТЕПНОГОРСК, 24, 7</v>
      </c>
      <c r="S393" t="str">
        <f>"ҚАЗАҚСТАН, АҚМОЛА, СТЕПНОГОР, 24, 7"</f>
        <v>ҚАЗАҚСТАН, АҚМОЛА, СТЕПНОГОР, 24, 7</v>
      </c>
      <c r="T393" t="str">
        <f>"24, 7"</f>
        <v>24, 7</v>
      </c>
      <c r="U393" t="str">
        <f>"24, 7"</f>
        <v>24, 7</v>
      </c>
      <c r="AC393" t="str">
        <f>"2019-09-01T00:00:00"</f>
        <v>2019-09-01T00:00:00</v>
      </c>
      <c r="AD393" t="str">
        <f>"177"</f>
        <v>177</v>
      </c>
      <c r="AG393" t="s">
        <v>202</v>
      </c>
      <c r="AI393" t="s">
        <v>203</v>
      </c>
      <c r="AJ393" t="s">
        <v>348</v>
      </c>
      <c r="AK393" t="s">
        <v>261</v>
      </c>
      <c r="AL393" t="s">
        <v>206</v>
      </c>
      <c r="AN393" t="s">
        <v>207</v>
      </c>
      <c r="AO393">
        <v>1</v>
      </c>
      <c r="AP393" t="s">
        <v>208</v>
      </c>
      <c r="AQ393" t="s">
        <v>209</v>
      </c>
      <c r="AR393" t="s">
        <v>210</v>
      </c>
      <c r="AW393" t="s">
        <v>206</v>
      </c>
      <c r="AX393" t="s">
        <v>211</v>
      </c>
      <c r="AZ393" t="s">
        <v>209</v>
      </c>
      <c r="BI393" t="s">
        <v>212</v>
      </c>
      <c r="BJ393" t="s">
        <v>213</v>
      </c>
      <c r="BK393" t="s">
        <v>214</v>
      </c>
      <c r="BL393" t="s">
        <v>215</v>
      </c>
      <c r="BN393" t="s">
        <v>216</v>
      </c>
      <c r="BO393" t="s">
        <v>209</v>
      </c>
      <c r="BP393" t="s">
        <v>415</v>
      </c>
      <c r="BQ393" t="s">
        <v>673</v>
      </c>
      <c r="BS393" t="s">
        <v>219</v>
      </c>
      <c r="BT393" t="s">
        <v>220</v>
      </c>
      <c r="BU393" t="s">
        <v>206</v>
      </c>
      <c r="BX393" t="s">
        <v>234</v>
      </c>
      <c r="BY393" t="s">
        <v>234</v>
      </c>
      <c r="CA393" t="s">
        <v>222</v>
      </c>
      <c r="CB393" t="s">
        <v>223</v>
      </c>
      <c r="CC393" t="s">
        <v>222</v>
      </c>
      <c r="CD393" t="s">
        <v>223</v>
      </c>
      <c r="CE393" t="s">
        <v>242</v>
      </c>
      <c r="CJ393" t="s">
        <v>206</v>
      </c>
      <c r="CK393" t="s">
        <v>230</v>
      </c>
      <c r="CL393" t="s">
        <v>231</v>
      </c>
      <c r="CM393" t="s">
        <v>232</v>
      </c>
      <c r="CN393" t="s">
        <v>233</v>
      </c>
      <c r="CP393" t="s">
        <v>212</v>
      </c>
      <c r="CQ393" t="s">
        <v>212</v>
      </c>
      <c r="CR393" t="s">
        <v>212</v>
      </c>
      <c r="CS393" t="s">
        <v>212</v>
      </c>
      <c r="CY393" t="s">
        <v>212</v>
      </c>
      <c r="DB393" t="s">
        <v>234</v>
      </c>
      <c r="DE393" t="s">
        <v>212</v>
      </c>
      <c r="DF393" t="s">
        <v>212</v>
      </c>
      <c r="DG393" t="s">
        <v>235</v>
      </c>
      <c r="DH393" t="s">
        <v>212</v>
      </c>
      <c r="DJ393" t="s">
        <v>236</v>
      </c>
      <c r="DM393" t="s">
        <v>212</v>
      </c>
    </row>
    <row r="394" spans="1:117" x14ac:dyDescent="0.3">
      <c r="A394">
        <v>12881835</v>
      </c>
      <c r="B394">
        <v>173808</v>
      </c>
      <c r="C394" t="str">
        <f>"120118600907"</f>
        <v>120118600907</v>
      </c>
      <c r="D394" t="s">
        <v>1285</v>
      </c>
      <c r="E394" t="s">
        <v>312</v>
      </c>
      <c r="F394" t="s">
        <v>1286</v>
      </c>
      <c r="G394" s="1">
        <v>40926</v>
      </c>
      <c r="I394" t="s">
        <v>199</v>
      </c>
      <c r="J394" t="s">
        <v>200</v>
      </c>
      <c r="K394" t="s">
        <v>201</v>
      </c>
      <c r="R394" t="str">
        <f>"КАЗАХСТАН, АКМОЛИНСКАЯ, СТЕПНОГОРСК, 16, 88"</f>
        <v>КАЗАХСТАН, АКМОЛИНСКАЯ, СТЕПНОГОРСК, 16, 88</v>
      </c>
      <c r="S394" t="str">
        <f>"ҚАЗАҚСТАН, АҚМОЛА, СТЕПНОГОР, 16, 88"</f>
        <v>ҚАЗАҚСТАН, АҚМОЛА, СТЕПНОГОР, 16, 88</v>
      </c>
      <c r="T394" t="str">
        <f>"16, 88"</f>
        <v>16, 88</v>
      </c>
      <c r="U394" t="str">
        <f>"16, 88"</f>
        <v>16, 88</v>
      </c>
      <c r="AC394" t="str">
        <f>"2019-09-17T00:00:00"</f>
        <v>2019-09-17T00:00:00</v>
      </c>
      <c r="AD394" t="str">
        <f>"15"</f>
        <v>15</v>
      </c>
      <c r="AG394" t="s">
        <v>202</v>
      </c>
      <c r="AI394" t="s">
        <v>299</v>
      </c>
      <c r="AJ394" t="s">
        <v>348</v>
      </c>
      <c r="AK394" t="s">
        <v>253</v>
      </c>
      <c r="AL394" t="s">
        <v>206</v>
      </c>
      <c r="AN394" t="s">
        <v>254</v>
      </c>
      <c r="AO394">
        <v>1</v>
      </c>
      <c r="AP394" t="s">
        <v>208</v>
      </c>
      <c r="AQ394" t="s">
        <v>209</v>
      </c>
      <c r="AR394" t="s">
        <v>210</v>
      </c>
      <c r="AW394" t="s">
        <v>206</v>
      </c>
      <c r="AX394" t="s">
        <v>211</v>
      </c>
      <c r="AZ394" t="s">
        <v>209</v>
      </c>
      <c r="BI394" t="s">
        <v>212</v>
      </c>
      <c r="BJ394" t="s">
        <v>213</v>
      </c>
      <c r="BK394" t="s">
        <v>214</v>
      </c>
      <c r="BL394" t="s">
        <v>215</v>
      </c>
      <c r="BN394" t="s">
        <v>281</v>
      </c>
      <c r="BO394" t="s">
        <v>209</v>
      </c>
      <c r="BP394" t="s">
        <v>241</v>
      </c>
      <c r="BQ394">
        <v>5</v>
      </c>
      <c r="BS394" t="s">
        <v>219</v>
      </c>
      <c r="BT394" t="s">
        <v>220</v>
      </c>
      <c r="BU394" t="s">
        <v>206</v>
      </c>
      <c r="BX394" t="s">
        <v>221</v>
      </c>
      <c r="BY394" t="s">
        <v>221</v>
      </c>
      <c r="CA394" t="s">
        <v>222</v>
      </c>
      <c r="CB394" t="s">
        <v>223</v>
      </c>
      <c r="CC394" t="s">
        <v>222</v>
      </c>
      <c r="CD394" t="s">
        <v>223</v>
      </c>
      <c r="CE394" t="s">
        <v>242</v>
      </c>
      <c r="CJ394" t="s">
        <v>206</v>
      </c>
      <c r="CK394" t="s">
        <v>230</v>
      </c>
      <c r="CL394" t="s">
        <v>231</v>
      </c>
      <c r="CM394" t="s">
        <v>232</v>
      </c>
      <c r="CN394" t="s">
        <v>233</v>
      </c>
      <c r="CP394" t="s">
        <v>212</v>
      </c>
      <c r="CQ394" t="s">
        <v>212</v>
      </c>
      <c r="CR394" t="s">
        <v>212</v>
      </c>
      <c r="CS394" t="s">
        <v>212</v>
      </c>
      <c r="CY394" t="s">
        <v>212</v>
      </c>
      <c r="DB394" t="s">
        <v>234</v>
      </c>
      <c r="DE394" t="s">
        <v>212</v>
      </c>
      <c r="DF394" t="s">
        <v>212</v>
      </c>
      <c r="DG394" t="s">
        <v>235</v>
      </c>
      <c r="DH394" t="s">
        <v>212</v>
      </c>
      <c r="DJ394" t="s">
        <v>236</v>
      </c>
      <c r="DM394" t="s">
        <v>212</v>
      </c>
    </row>
    <row r="395" spans="1:117" x14ac:dyDescent="0.3">
      <c r="A395">
        <v>12881801</v>
      </c>
      <c r="B395">
        <v>174212</v>
      </c>
      <c r="C395" t="str">
        <f>"120117600525"</f>
        <v>120117600525</v>
      </c>
      <c r="D395" t="s">
        <v>1287</v>
      </c>
      <c r="E395" t="s">
        <v>1288</v>
      </c>
      <c r="F395" t="s">
        <v>1289</v>
      </c>
      <c r="G395" s="1">
        <v>40925</v>
      </c>
      <c r="I395" t="s">
        <v>199</v>
      </c>
      <c r="J395" t="s">
        <v>200</v>
      </c>
      <c r="K395" t="s">
        <v>201</v>
      </c>
      <c r="R395" t="str">
        <f>"КАЗАХСТАН, АКМОЛИНСКАЯ, СТЕПНОГОРСК, 12, 74"</f>
        <v>КАЗАХСТАН, АКМОЛИНСКАЯ, СТЕПНОГОРСК, 12, 74</v>
      </c>
      <c r="S395" t="str">
        <f>"ҚАЗАҚСТАН, АҚМОЛА, СТЕПНОГОР, 12, 74"</f>
        <v>ҚАЗАҚСТАН, АҚМОЛА, СТЕПНОГОР, 12, 74</v>
      </c>
      <c r="T395" t="str">
        <f>"12, 74"</f>
        <v>12, 74</v>
      </c>
      <c r="U395" t="str">
        <f>"12, 74"</f>
        <v>12, 74</v>
      </c>
      <c r="AC395" t="str">
        <f>"2019-09-16T00:00:00"</f>
        <v>2019-09-16T00:00:00</v>
      </c>
      <c r="AD395" t="str">
        <f>"15"</f>
        <v>15</v>
      </c>
      <c r="AG395" t="s">
        <v>202</v>
      </c>
      <c r="AI395" t="s">
        <v>269</v>
      </c>
      <c r="AJ395" t="s">
        <v>348</v>
      </c>
      <c r="AK395" t="s">
        <v>253</v>
      </c>
      <c r="AL395" t="s">
        <v>206</v>
      </c>
      <c r="AN395" t="s">
        <v>254</v>
      </c>
      <c r="AO395">
        <v>1</v>
      </c>
      <c r="AP395" t="s">
        <v>208</v>
      </c>
      <c r="AQ395" t="s">
        <v>209</v>
      </c>
      <c r="AR395" t="s">
        <v>210</v>
      </c>
      <c r="AW395" t="s">
        <v>206</v>
      </c>
      <c r="AX395" t="s">
        <v>211</v>
      </c>
      <c r="AZ395" t="s">
        <v>209</v>
      </c>
      <c r="BI395" t="s">
        <v>212</v>
      </c>
      <c r="BJ395" t="s">
        <v>213</v>
      </c>
      <c r="BK395" t="s">
        <v>214</v>
      </c>
      <c r="BL395" t="s">
        <v>215</v>
      </c>
      <c r="BN395" t="s">
        <v>281</v>
      </c>
      <c r="BO395" t="s">
        <v>209</v>
      </c>
      <c r="BP395" t="s">
        <v>241</v>
      </c>
      <c r="BQ395">
        <v>5</v>
      </c>
      <c r="BS395" t="s">
        <v>219</v>
      </c>
      <c r="BT395" t="s">
        <v>220</v>
      </c>
      <c r="BU395" t="s">
        <v>206</v>
      </c>
      <c r="BX395" t="s">
        <v>221</v>
      </c>
      <c r="BY395" t="s">
        <v>221</v>
      </c>
      <c r="CA395" t="s">
        <v>222</v>
      </c>
      <c r="CB395" t="s">
        <v>223</v>
      </c>
      <c r="CC395" t="s">
        <v>222</v>
      </c>
      <c r="CD395" t="s">
        <v>223</v>
      </c>
      <c r="CE395" t="s">
        <v>242</v>
      </c>
      <c r="CJ395" t="s">
        <v>206</v>
      </c>
      <c r="CK395" t="s">
        <v>230</v>
      </c>
      <c r="CL395" t="s">
        <v>231</v>
      </c>
      <c r="CM395" t="s">
        <v>232</v>
      </c>
      <c r="CN395" t="s">
        <v>233</v>
      </c>
      <c r="CP395" t="s">
        <v>212</v>
      </c>
      <c r="CQ395" t="s">
        <v>212</v>
      </c>
      <c r="CR395" t="s">
        <v>212</v>
      </c>
      <c r="CS395" t="s">
        <v>212</v>
      </c>
      <c r="CY395" t="s">
        <v>212</v>
      </c>
      <c r="DB395" t="s">
        <v>234</v>
      </c>
      <c r="DE395" t="s">
        <v>212</v>
      </c>
      <c r="DF395" t="s">
        <v>212</v>
      </c>
      <c r="DG395" t="s">
        <v>235</v>
      </c>
      <c r="DH395" t="s">
        <v>212</v>
      </c>
      <c r="DJ395" t="s">
        <v>236</v>
      </c>
      <c r="DM395" t="s">
        <v>206</v>
      </c>
    </row>
    <row r="396" spans="1:117" x14ac:dyDescent="0.3">
      <c r="A396">
        <v>12840834</v>
      </c>
      <c r="B396">
        <v>91227</v>
      </c>
      <c r="C396" t="str">
        <f>"130822503885"</f>
        <v>130822503885</v>
      </c>
      <c r="D396" t="s">
        <v>1290</v>
      </c>
      <c r="E396" t="s">
        <v>1291</v>
      </c>
      <c r="F396" t="s">
        <v>1292</v>
      </c>
      <c r="G396" s="1">
        <v>41508</v>
      </c>
      <c r="I396" t="s">
        <v>240</v>
      </c>
      <c r="J396" t="s">
        <v>200</v>
      </c>
      <c r="K396" t="s">
        <v>201</v>
      </c>
      <c r="Q396" t="s">
        <v>212</v>
      </c>
      <c r="R396" t="str">
        <f>"КАЗАХСТАН, АКМОЛИНСКАЯ, СТЕПНОГОРСК, 44, 37"</f>
        <v>КАЗАХСТАН, АКМОЛИНСКАЯ, СТЕПНОГОРСК, 44, 37</v>
      </c>
      <c r="S396" t="str">
        <f>"ҚАЗАҚСТАН, АҚМОЛА, СТЕПНОГОР, 44, 37"</f>
        <v>ҚАЗАҚСТАН, АҚМОЛА, СТЕПНОГОР, 44, 37</v>
      </c>
      <c r="T396" t="str">
        <f>"44, 37"</f>
        <v>44, 37</v>
      </c>
      <c r="U396" t="str">
        <f>"44, 37"</f>
        <v>44, 37</v>
      </c>
      <c r="AC396" t="str">
        <f>"2019-09-05T00:00:00"</f>
        <v>2019-09-05T00:00:00</v>
      </c>
      <c r="AD396" t="str">
        <f>"7"</f>
        <v>7</v>
      </c>
      <c r="AG396" t="s">
        <v>333</v>
      </c>
      <c r="AI396" t="s">
        <v>274</v>
      </c>
      <c r="AJ396" t="s">
        <v>419</v>
      </c>
      <c r="AK396" t="s">
        <v>246</v>
      </c>
      <c r="AL396" t="s">
        <v>206</v>
      </c>
      <c r="AN396" t="s">
        <v>207</v>
      </c>
      <c r="AO396">
        <v>1</v>
      </c>
      <c r="AP396" t="s">
        <v>208</v>
      </c>
      <c r="AQ396" t="s">
        <v>209</v>
      </c>
      <c r="AR396" t="s">
        <v>210</v>
      </c>
      <c r="AV396" t="str">
        <f>"2021-01-19T11:20:40"</f>
        <v>2021-01-19T11:20:40</v>
      </c>
      <c r="AW396" t="s">
        <v>206</v>
      </c>
      <c r="AX396" t="s">
        <v>211</v>
      </c>
      <c r="AZ396" t="s">
        <v>209</v>
      </c>
      <c r="BI396" t="s">
        <v>212</v>
      </c>
      <c r="BJ396" t="s">
        <v>213</v>
      </c>
      <c r="BK396" t="s">
        <v>214</v>
      </c>
      <c r="BL396" t="s">
        <v>215</v>
      </c>
      <c r="BN396" t="s">
        <v>247</v>
      </c>
      <c r="BO396" t="s">
        <v>209</v>
      </c>
      <c r="BP396" t="s">
        <v>241</v>
      </c>
      <c r="BQ396">
        <v>3</v>
      </c>
      <c r="BS396" t="s">
        <v>219</v>
      </c>
      <c r="BT396" t="s">
        <v>220</v>
      </c>
      <c r="BU396" t="s">
        <v>206</v>
      </c>
      <c r="BX396" t="s">
        <v>221</v>
      </c>
      <c r="BY396" t="s">
        <v>221</v>
      </c>
      <c r="CA396" t="s">
        <v>287</v>
      </c>
      <c r="CC396" t="s">
        <v>222</v>
      </c>
      <c r="CD396" t="s">
        <v>223</v>
      </c>
      <c r="CE396" t="s">
        <v>242</v>
      </c>
      <c r="CJ396" t="s">
        <v>206</v>
      </c>
      <c r="CK396" t="s">
        <v>230</v>
      </c>
      <c r="CL396" t="s">
        <v>231</v>
      </c>
      <c r="CM396" t="s">
        <v>232</v>
      </c>
      <c r="CN396" t="s">
        <v>233</v>
      </c>
      <c r="CP396" t="s">
        <v>212</v>
      </c>
      <c r="CQ396" t="s">
        <v>212</v>
      </c>
      <c r="CR396" t="s">
        <v>212</v>
      </c>
      <c r="CS396" t="s">
        <v>212</v>
      </c>
      <c r="CY396" t="s">
        <v>212</v>
      </c>
      <c r="DB396" t="s">
        <v>234</v>
      </c>
      <c r="DE396" t="s">
        <v>212</v>
      </c>
      <c r="DF396" t="s">
        <v>212</v>
      </c>
      <c r="DG396" t="s">
        <v>235</v>
      </c>
      <c r="DH396" t="s">
        <v>212</v>
      </c>
      <c r="DJ396" t="s">
        <v>236</v>
      </c>
      <c r="DM396" t="s">
        <v>212</v>
      </c>
    </row>
    <row r="397" spans="1:117" x14ac:dyDescent="0.3">
      <c r="A397">
        <v>12839513</v>
      </c>
      <c r="B397">
        <v>91198</v>
      </c>
      <c r="C397" t="str">
        <f>"110930601712"</f>
        <v>110930601712</v>
      </c>
      <c r="D397" t="s">
        <v>1293</v>
      </c>
      <c r="E397" t="s">
        <v>1294</v>
      </c>
      <c r="F397" t="s">
        <v>1295</v>
      </c>
      <c r="G397" s="1">
        <v>40816</v>
      </c>
      <c r="I397" t="s">
        <v>199</v>
      </c>
      <c r="J397" t="s">
        <v>200</v>
      </c>
      <c r="K397" t="s">
        <v>201</v>
      </c>
      <c r="R397" t="str">
        <f>"КАЗАХСТАН, АКМОЛИНСКАЯ, СТЕПНОГОРСК, 44, 37"</f>
        <v>КАЗАХСТАН, АКМОЛИНСКАЯ, СТЕПНОГОРСК, 44, 37</v>
      </c>
      <c r="S397" t="str">
        <f>"ҚАЗАҚСТАН, АҚМОЛА, СТЕПНОГОР, 44, 37"</f>
        <v>ҚАЗАҚСТАН, АҚМОЛА, СТЕПНОГОР, 44, 37</v>
      </c>
      <c r="T397" t="str">
        <f>"44, 37"</f>
        <v>44, 37</v>
      </c>
      <c r="U397" t="str">
        <f>"44, 37"</f>
        <v>44, 37</v>
      </c>
      <c r="AC397" t="str">
        <f>"2019-09-05T00:00:00"</f>
        <v>2019-09-05T00:00:00</v>
      </c>
      <c r="AD397" t="str">
        <f>"6"</f>
        <v>6</v>
      </c>
      <c r="AG397" t="s">
        <v>333</v>
      </c>
      <c r="AI397" t="s">
        <v>274</v>
      </c>
      <c r="AJ397" t="s">
        <v>348</v>
      </c>
      <c r="AK397" t="s">
        <v>261</v>
      </c>
      <c r="AL397" t="s">
        <v>206</v>
      </c>
      <c r="AN397" t="s">
        <v>207</v>
      </c>
      <c r="AO397">
        <v>1</v>
      </c>
      <c r="AP397" t="s">
        <v>208</v>
      </c>
      <c r="AQ397" t="s">
        <v>209</v>
      </c>
      <c r="AR397" t="s">
        <v>210</v>
      </c>
      <c r="AW397" t="s">
        <v>206</v>
      </c>
      <c r="AX397" t="s">
        <v>211</v>
      </c>
      <c r="AZ397" t="s">
        <v>209</v>
      </c>
      <c r="BI397" t="s">
        <v>212</v>
      </c>
      <c r="BJ397" t="s">
        <v>213</v>
      </c>
      <c r="BK397" t="s">
        <v>214</v>
      </c>
      <c r="BL397" t="s">
        <v>215</v>
      </c>
      <c r="BN397" t="s">
        <v>247</v>
      </c>
      <c r="BO397" t="s">
        <v>209</v>
      </c>
      <c r="BP397" t="s">
        <v>415</v>
      </c>
      <c r="BQ397" t="s">
        <v>416</v>
      </c>
      <c r="BS397" t="s">
        <v>219</v>
      </c>
      <c r="BT397" t="s">
        <v>220</v>
      </c>
      <c r="BU397" t="s">
        <v>206</v>
      </c>
      <c r="BX397" t="s">
        <v>221</v>
      </c>
      <c r="BY397" t="s">
        <v>221</v>
      </c>
      <c r="CA397" t="s">
        <v>222</v>
      </c>
      <c r="CB397" t="s">
        <v>223</v>
      </c>
      <c r="CC397" t="s">
        <v>222</v>
      </c>
      <c r="CD397" t="s">
        <v>223</v>
      </c>
      <c r="CE397" t="s">
        <v>242</v>
      </c>
      <c r="CJ397" t="s">
        <v>206</v>
      </c>
      <c r="CK397" t="s">
        <v>230</v>
      </c>
      <c r="CL397" t="s">
        <v>231</v>
      </c>
      <c r="CM397" t="s">
        <v>232</v>
      </c>
      <c r="CN397" t="s">
        <v>233</v>
      </c>
      <c r="CP397" t="s">
        <v>212</v>
      </c>
      <c r="CQ397" t="s">
        <v>212</v>
      </c>
      <c r="CR397" t="s">
        <v>212</v>
      </c>
      <c r="CS397" t="s">
        <v>212</v>
      </c>
      <c r="CY397" t="s">
        <v>212</v>
      </c>
      <c r="DB397" t="s">
        <v>234</v>
      </c>
      <c r="DE397" t="s">
        <v>212</v>
      </c>
      <c r="DF397" t="s">
        <v>212</v>
      </c>
      <c r="DG397" t="s">
        <v>235</v>
      </c>
      <c r="DH397" t="s">
        <v>212</v>
      </c>
      <c r="DJ397" t="s">
        <v>236</v>
      </c>
      <c r="DM397" t="s">
        <v>212</v>
      </c>
    </row>
    <row r="398" spans="1:117" x14ac:dyDescent="0.3">
      <c r="A398">
        <v>25890290</v>
      </c>
      <c r="B398">
        <v>13380878</v>
      </c>
      <c r="C398" t="str">
        <f>"180205504015"</f>
        <v>180205504015</v>
      </c>
      <c r="D398" t="s">
        <v>271</v>
      </c>
      <c r="E398" t="s">
        <v>1296</v>
      </c>
      <c r="F398" t="s">
        <v>1297</v>
      </c>
      <c r="G398" s="1">
        <v>43136</v>
      </c>
      <c r="I398" t="s">
        <v>240</v>
      </c>
      <c r="J398" t="s">
        <v>200</v>
      </c>
      <c r="K398" t="s">
        <v>201</v>
      </c>
      <c r="Q398" t="s">
        <v>212</v>
      </c>
      <c r="R398" t="str">
        <f>"КАЗАХСТАН, АКМОЛИНСКАЯ, СТЕПНОГОРСК, 6"</f>
        <v>КАЗАХСТАН, АКМОЛИНСКАЯ, СТЕПНОГОРСК, 6</v>
      </c>
      <c r="S398" t="str">
        <f>"ҚАЗАҚСТАН, АҚМОЛА, СТЕПНОГОР, 6"</f>
        <v>ҚАЗАҚСТАН, АҚМОЛА, СТЕПНОГОР, 6</v>
      </c>
      <c r="T398" t="str">
        <f>"6"</f>
        <v>6</v>
      </c>
      <c r="U398" t="str">
        <f>"6"</f>
        <v>6</v>
      </c>
      <c r="AC398" t="str">
        <f>"2023-08-25T00:00:00"</f>
        <v>2023-08-25T00:00:00</v>
      </c>
      <c r="AD398" t="str">
        <f>"202"</f>
        <v>202</v>
      </c>
      <c r="AG398" t="s">
        <v>202</v>
      </c>
      <c r="AI398" t="s">
        <v>269</v>
      </c>
      <c r="AJ398" t="s">
        <v>1298</v>
      </c>
      <c r="AK398" t="s">
        <v>205</v>
      </c>
      <c r="AL398" t="s">
        <v>206</v>
      </c>
      <c r="AN398" t="s">
        <v>207</v>
      </c>
      <c r="AO398">
        <v>2</v>
      </c>
      <c r="AP398" t="s">
        <v>208</v>
      </c>
      <c r="AQ398" t="s">
        <v>209</v>
      </c>
      <c r="AR398" t="s">
        <v>502</v>
      </c>
      <c r="AW398" t="s">
        <v>212</v>
      </c>
      <c r="AZ398" t="s">
        <v>209</v>
      </c>
      <c r="BI398" t="s">
        <v>212</v>
      </c>
      <c r="BJ398" t="s">
        <v>213</v>
      </c>
      <c r="BK398" t="s">
        <v>214</v>
      </c>
      <c r="BL398" t="s">
        <v>215</v>
      </c>
      <c r="BN398" t="s">
        <v>661</v>
      </c>
      <c r="BO398" t="s">
        <v>209</v>
      </c>
      <c r="BS398" t="s">
        <v>220</v>
      </c>
      <c r="CA398" t="s">
        <v>287</v>
      </c>
      <c r="CC398" t="s">
        <v>209</v>
      </c>
      <c r="CE398" t="s">
        <v>242</v>
      </c>
      <c r="CJ398" t="s">
        <v>206</v>
      </c>
      <c r="CK398" t="s">
        <v>230</v>
      </c>
      <c r="CL398" t="s">
        <v>231</v>
      </c>
      <c r="CM398" t="s">
        <v>232</v>
      </c>
      <c r="CN398" t="s">
        <v>233</v>
      </c>
      <c r="CP398" t="s">
        <v>212</v>
      </c>
      <c r="CQ398" t="s">
        <v>212</v>
      </c>
      <c r="CR398" t="s">
        <v>212</v>
      </c>
      <c r="CS398" t="s">
        <v>212</v>
      </c>
      <c r="CY398" t="s">
        <v>212</v>
      </c>
      <c r="DB398" t="s">
        <v>234</v>
      </c>
      <c r="DE398" t="s">
        <v>212</v>
      </c>
      <c r="DF398" t="s">
        <v>212</v>
      </c>
      <c r="DG398" t="s">
        <v>235</v>
      </c>
      <c r="DH398" t="s">
        <v>212</v>
      </c>
      <c r="DJ398" t="s">
        <v>421</v>
      </c>
      <c r="DK398" t="s">
        <v>707</v>
      </c>
      <c r="DL398" t="s">
        <v>1299</v>
      </c>
      <c r="DM398" t="s">
        <v>206</v>
      </c>
    </row>
    <row r="399" spans="1:117" x14ac:dyDescent="0.3">
      <c r="A399">
        <v>12556381</v>
      </c>
      <c r="B399">
        <v>123771</v>
      </c>
      <c r="C399" t="str">
        <f>"090501651053"</f>
        <v>090501651053</v>
      </c>
      <c r="D399" t="s">
        <v>650</v>
      </c>
      <c r="E399" t="s">
        <v>312</v>
      </c>
      <c r="F399" t="s">
        <v>652</v>
      </c>
      <c r="G399" s="1">
        <v>39934</v>
      </c>
      <c r="I399" t="s">
        <v>199</v>
      </c>
      <c r="J399" t="s">
        <v>200</v>
      </c>
      <c r="K399" t="s">
        <v>201</v>
      </c>
      <c r="R399" t="str">
        <f>"АНДОРРА, АКМОЛИНСКАЯ, СТЕПНОГОРСК, 68, 57"</f>
        <v>АНДОРРА, АКМОЛИНСКАЯ, СТЕПНОГОРСК, 68, 57</v>
      </c>
      <c r="S399" t="str">
        <f>"АНДОРРА, АҚМОЛА, СТЕПНОГОР, 68, 57"</f>
        <v>АНДОРРА, АҚМОЛА, СТЕПНОГОР, 68, 57</v>
      </c>
      <c r="T399" t="str">
        <f>"68, 57"</f>
        <v>68, 57</v>
      </c>
      <c r="U399" t="str">
        <f>"68, 57"</f>
        <v>68, 57</v>
      </c>
      <c r="AC399" t="str">
        <f>"2019-09-01T00:00:00"</f>
        <v>2019-09-01T00:00:00</v>
      </c>
      <c r="AD399" t="str">
        <f>"174"</f>
        <v>174</v>
      </c>
      <c r="AG399" t="s">
        <v>202</v>
      </c>
      <c r="AH399" t="str">
        <f>"ckool007@mail.ru"</f>
        <v>ckool007@mail.ru</v>
      </c>
      <c r="AI399" t="s">
        <v>299</v>
      </c>
      <c r="AJ399" t="s">
        <v>204</v>
      </c>
      <c r="AK399" t="s">
        <v>253</v>
      </c>
      <c r="AL399" t="s">
        <v>206</v>
      </c>
      <c r="AN399" t="s">
        <v>254</v>
      </c>
      <c r="AO399">
        <v>1</v>
      </c>
      <c r="AP399" t="s">
        <v>208</v>
      </c>
      <c r="AQ399" t="s">
        <v>209</v>
      </c>
      <c r="AR399" t="s">
        <v>210</v>
      </c>
      <c r="AW399" t="s">
        <v>206</v>
      </c>
      <c r="AX399" t="s">
        <v>211</v>
      </c>
      <c r="AZ399" t="s">
        <v>209</v>
      </c>
      <c r="BI399" t="s">
        <v>212</v>
      </c>
      <c r="BJ399" t="s">
        <v>213</v>
      </c>
      <c r="BK399" t="s">
        <v>214</v>
      </c>
      <c r="BL399" t="s">
        <v>215</v>
      </c>
      <c r="BN399" t="s">
        <v>216</v>
      </c>
      <c r="BO399" t="s">
        <v>209</v>
      </c>
      <c r="BP399" t="s">
        <v>241</v>
      </c>
      <c r="BQ399">
        <v>4</v>
      </c>
      <c r="BS399" t="s">
        <v>219</v>
      </c>
      <c r="BT399" t="s">
        <v>220</v>
      </c>
      <c r="BU399" t="s">
        <v>206</v>
      </c>
      <c r="BX399" t="s">
        <v>221</v>
      </c>
      <c r="BY399" t="s">
        <v>221</v>
      </c>
      <c r="CA399" t="s">
        <v>338</v>
      </c>
      <c r="CB399" t="s">
        <v>223</v>
      </c>
      <c r="CC399" t="s">
        <v>353</v>
      </c>
      <c r="CD399" t="s">
        <v>223</v>
      </c>
      <c r="CE399" t="s">
        <v>242</v>
      </c>
      <c r="CJ399" t="s">
        <v>206</v>
      </c>
      <c r="CK399" t="s">
        <v>230</v>
      </c>
      <c r="CL399" t="s">
        <v>231</v>
      </c>
      <c r="CM399" t="s">
        <v>232</v>
      </c>
      <c r="CN399" t="s">
        <v>233</v>
      </c>
      <c r="CP399" t="s">
        <v>212</v>
      </c>
      <c r="CQ399" t="s">
        <v>212</v>
      </c>
      <c r="CR399" t="s">
        <v>212</v>
      </c>
      <c r="CS399" t="s">
        <v>212</v>
      </c>
      <c r="CY399" t="s">
        <v>212</v>
      </c>
      <c r="DB399" t="s">
        <v>234</v>
      </c>
      <c r="DE399" t="s">
        <v>212</v>
      </c>
      <c r="DF399" t="s">
        <v>212</v>
      </c>
      <c r="DG399" t="s">
        <v>235</v>
      </c>
      <c r="DH399" t="s">
        <v>212</v>
      </c>
      <c r="DJ399" t="s">
        <v>236</v>
      </c>
      <c r="DM399" t="s">
        <v>212</v>
      </c>
    </row>
    <row r="400" spans="1:117" x14ac:dyDescent="0.3">
      <c r="A400">
        <v>12556369</v>
      </c>
      <c r="B400">
        <v>125975</v>
      </c>
      <c r="C400" t="str">
        <f>"110123600080"</f>
        <v>110123600080</v>
      </c>
      <c r="D400" t="s">
        <v>650</v>
      </c>
      <c r="E400" t="s">
        <v>1300</v>
      </c>
      <c r="F400" t="s">
        <v>652</v>
      </c>
      <c r="G400" s="1">
        <v>40566</v>
      </c>
      <c r="I400" t="s">
        <v>199</v>
      </c>
      <c r="J400" t="s">
        <v>200</v>
      </c>
      <c r="K400" t="s">
        <v>201</v>
      </c>
      <c r="R400" t="str">
        <f>"АНДОРРА, АКМОЛИНСКАЯ, СТЕПНОГОРСК, 68, 57"</f>
        <v>АНДОРРА, АКМОЛИНСКАЯ, СТЕПНОГОРСК, 68, 57</v>
      </c>
      <c r="S400" t="str">
        <f>"АНДОРРА, АҚМОЛА, СТЕПНОГОР, 68, 57"</f>
        <v>АНДОРРА, АҚМОЛА, СТЕПНОГОР, 68, 57</v>
      </c>
      <c r="T400" t="str">
        <f>"68, 57"</f>
        <v>68, 57</v>
      </c>
      <c r="U400" t="str">
        <f>"68, 57"</f>
        <v>68, 57</v>
      </c>
      <c r="AC400" t="str">
        <f>"2019-09-01T00:00:00"</f>
        <v>2019-09-01T00:00:00</v>
      </c>
      <c r="AD400" t="str">
        <f>"173"</f>
        <v>173</v>
      </c>
      <c r="AG400" t="s">
        <v>202</v>
      </c>
      <c r="AI400" t="s">
        <v>274</v>
      </c>
      <c r="AJ400" t="s">
        <v>300</v>
      </c>
      <c r="AK400" t="s">
        <v>253</v>
      </c>
      <c r="AL400" t="s">
        <v>206</v>
      </c>
      <c r="AN400" t="s">
        <v>254</v>
      </c>
      <c r="AO400">
        <v>1</v>
      </c>
      <c r="AP400" t="s">
        <v>208</v>
      </c>
      <c r="AQ400" t="s">
        <v>209</v>
      </c>
      <c r="AR400" t="s">
        <v>210</v>
      </c>
      <c r="AW400" t="s">
        <v>206</v>
      </c>
      <c r="AX400" t="s">
        <v>211</v>
      </c>
      <c r="AZ400" t="s">
        <v>209</v>
      </c>
      <c r="BI400" t="s">
        <v>212</v>
      </c>
      <c r="BJ400" t="s">
        <v>213</v>
      </c>
      <c r="BK400" t="s">
        <v>214</v>
      </c>
      <c r="BL400" t="s">
        <v>215</v>
      </c>
      <c r="BN400" t="s">
        <v>216</v>
      </c>
      <c r="BO400" t="s">
        <v>209</v>
      </c>
      <c r="BP400" t="s">
        <v>241</v>
      </c>
      <c r="BQ400">
        <v>4</v>
      </c>
      <c r="BS400" t="s">
        <v>219</v>
      </c>
      <c r="BT400" t="s">
        <v>220</v>
      </c>
      <c r="BU400" t="s">
        <v>206</v>
      </c>
      <c r="BX400" t="s">
        <v>221</v>
      </c>
      <c r="BY400" t="s">
        <v>221</v>
      </c>
      <c r="CA400" t="s">
        <v>222</v>
      </c>
      <c r="CB400" t="s">
        <v>223</v>
      </c>
      <c r="CC400" t="s">
        <v>222</v>
      </c>
      <c r="CD400" t="s">
        <v>223</v>
      </c>
      <c r="CE400" t="s">
        <v>242</v>
      </c>
      <c r="CJ400" t="s">
        <v>206</v>
      </c>
      <c r="CK400" t="s">
        <v>230</v>
      </c>
      <c r="CL400" t="s">
        <v>231</v>
      </c>
      <c r="CM400" t="s">
        <v>232</v>
      </c>
      <c r="CN400" t="s">
        <v>233</v>
      </c>
      <c r="CP400" t="s">
        <v>212</v>
      </c>
      <c r="CQ400" t="s">
        <v>212</v>
      </c>
      <c r="CR400" t="s">
        <v>212</v>
      </c>
      <c r="CS400" t="s">
        <v>212</v>
      </c>
      <c r="CY400" t="s">
        <v>212</v>
      </c>
      <c r="DB400" t="s">
        <v>234</v>
      </c>
      <c r="DE400" t="s">
        <v>212</v>
      </c>
      <c r="DF400" t="s">
        <v>212</v>
      </c>
      <c r="DG400" t="s">
        <v>235</v>
      </c>
      <c r="DH400" t="s">
        <v>212</v>
      </c>
      <c r="DJ400" t="s">
        <v>236</v>
      </c>
      <c r="DM400" t="s">
        <v>212</v>
      </c>
    </row>
    <row r="401" spans="1:117" x14ac:dyDescent="0.3">
      <c r="A401">
        <v>12542996</v>
      </c>
      <c r="B401">
        <v>40791</v>
      </c>
      <c r="C401" t="str">
        <f>"090515550114"</f>
        <v>090515550114</v>
      </c>
      <c r="D401" t="s">
        <v>1301</v>
      </c>
      <c r="E401" t="s">
        <v>819</v>
      </c>
      <c r="F401" t="s">
        <v>259</v>
      </c>
      <c r="G401" s="1">
        <v>39948</v>
      </c>
      <c r="I401" t="s">
        <v>240</v>
      </c>
      <c r="J401" t="s">
        <v>200</v>
      </c>
      <c r="K401" t="s">
        <v>306</v>
      </c>
      <c r="Q401" t="s">
        <v>212</v>
      </c>
      <c r="R401" t="str">
        <f>"АНДОРРА, АКМОЛИНСКАЯ, СТЕПНОГОРСК, 17, 215"</f>
        <v>АНДОРРА, АКМОЛИНСКАЯ, СТЕПНОГОРСК, 17, 215</v>
      </c>
      <c r="S401" t="str">
        <f>"АНДОРРА, АҚМОЛА, СТЕПНОГОР, 17, 215"</f>
        <v>АНДОРРА, АҚМОЛА, СТЕПНОГОР, 17, 215</v>
      </c>
      <c r="T401" t="str">
        <f>"17, 215"</f>
        <v>17, 215</v>
      </c>
      <c r="U401" t="str">
        <f>"17, 215"</f>
        <v>17, 215</v>
      </c>
      <c r="AC401" t="str">
        <f>"2019-09-01T00:00:00"</f>
        <v>2019-09-01T00:00:00</v>
      </c>
      <c r="AD401" t="str">
        <f>"175"</f>
        <v>175</v>
      </c>
      <c r="AG401" t="s">
        <v>333</v>
      </c>
      <c r="AH401" t="str">
        <f>"ckool007@mail.ru"</f>
        <v>ckool007@mail.ru</v>
      </c>
      <c r="AI401" t="s">
        <v>203</v>
      </c>
      <c r="AJ401" t="s">
        <v>204</v>
      </c>
      <c r="AK401" t="s">
        <v>205</v>
      </c>
      <c r="AL401" t="s">
        <v>206</v>
      </c>
      <c r="AN401" t="s">
        <v>207</v>
      </c>
      <c r="AO401">
        <v>1</v>
      </c>
      <c r="AP401" t="s">
        <v>208</v>
      </c>
      <c r="AQ401" t="s">
        <v>209</v>
      </c>
      <c r="AR401" t="s">
        <v>210</v>
      </c>
      <c r="AW401" t="s">
        <v>206</v>
      </c>
      <c r="AX401" t="s">
        <v>211</v>
      </c>
      <c r="AZ401" t="s">
        <v>209</v>
      </c>
      <c r="BI401" t="s">
        <v>212</v>
      </c>
      <c r="BJ401" t="s">
        <v>213</v>
      </c>
      <c r="BK401" t="s">
        <v>214</v>
      </c>
      <c r="BL401" t="s">
        <v>215</v>
      </c>
      <c r="BN401" t="s">
        <v>281</v>
      </c>
      <c r="BO401" t="s">
        <v>209</v>
      </c>
      <c r="BP401" t="s">
        <v>241</v>
      </c>
      <c r="BQ401">
        <v>5</v>
      </c>
      <c r="BS401" t="s">
        <v>219</v>
      </c>
      <c r="BT401" t="s">
        <v>220</v>
      </c>
      <c r="BU401" t="s">
        <v>206</v>
      </c>
      <c r="BX401" t="s">
        <v>234</v>
      </c>
      <c r="BY401" t="s">
        <v>234</v>
      </c>
      <c r="CA401" t="s">
        <v>287</v>
      </c>
      <c r="CC401" t="s">
        <v>209</v>
      </c>
      <c r="CE401" t="s">
        <v>225</v>
      </c>
      <c r="CF401" t="s">
        <v>226</v>
      </c>
      <c r="CG401" t="s">
        <v>343</v>
      </c>
      <c r="CH401" t="s">
        <v>228</v>
      </c>
      <c r="CI401" t="s">
        <v>1302</v>
      </c>
      <c r="CJ401" t="s">
        <v>206</v>
      </c>
      <c r="CK401" t="s">
        <v>230</v>
      </c>
      <c r="CL401" t="s">
        <v>231</v>
      </c>
      <c r="CM401" t="s">
        <v>232</v>
      </c>
      <c r="CN401" t="s">
        <v>233</v>
      </c>
      <c r="CP401" t="s">
        <v>212</v>
      </c>
      <c r="CQ401" t="s">
        <v>212</v>
      </c>
      <c r="CR401" t="s">
        <v>212</v>
      </c>
      <c r="CS401" t="s">
        <v>212</v>
      </c>
      <c r="CY401" t="s">
        <v>212</v>
      </c>
      <c r="DB401" t="s">
        <v>234</v>
      </c>
      <c r="DE401" t="s">
        <v>212</v>
      </c>
      <c r="DF401" t="s">
        <v>212</v>
      </c>
      <c r="DG401" t="s">
        <v>235</v>
      </c>
      <c r="DH401" t="s">
        <v>212</v>
      </c>
      <c r="DJ401" t="s">
        <v>236</v>
      </c>
      <c r="DM401" t="s">
        <v>212</v>
      </c>
    </row>
    <row r="402" spans="1:117" x14ac:dyDescent="0.3">
      <c r="A402">
        <v>12541720</v>
      </c>
      <c r="B402">
        <v>285891</v>
      </c>
      <c r="C402" t="str">
        <f>"071122653643"</f>
        <v>071122653643</v>
      </c>
      <c r="D402" t="s">
        <v>1303</v>
      </c>
      <c r="E402" t="s">
        <v>459</v>
      </c>
      <c r="F402" t="s">
        <v>280</v>
      </c>
      <c r="G402" s="1">
        <v>39408</v>
      </c>
      <c r="I402" t="s">
        <v>199</v>
      </c>
      <c r="J402" t="s">
        <v>200</v>
      </c>
      <c r="K402" t="s">
        <v>201</v>
      </c>
      <c r="Q402" t="s">
        <v>212</v>
      </c>
      <c r="R402" t="str">
        <f>"АНДОРРА, АКМОЛИНСКАЯ, СТЕПНОГОРСК, 24, 5"</f>
        <v>АНДОРРА, АКМОЛИНСКАЯ, СТЕПНОГОРСК, 24, 5</v>
      </c>
      <c r="S402" t="str">
        <f>"АНДОРРА, АҚМОЛА, СТЕПНОГОР, 24, 5"</f>
        <v>АНДОРРА, АҚМОЛА, СТЕПНОГОР, 24, 5</v>
      </c>
      <c r="T402" t="str">
        <f>"24, 5"</f>
        <v>24, 5</v>
      </c>
      <c r="U402" t="str">
        <f>"24, 5"</f>
        <v>24, 5</v>
      </c>
      <c r="AC402" t="str">
        <f>"2019-09-01T00:00:00"</f>
        <v>2019-09-01T00:00:00</v>
      </c>
      <c r="AD402" t="str">
        <f>"176"</f>
        <v>176</v>
      </c>
      <c r="AG402" t="s">
        <v>202</v>
      </c>
      <c r="AH402" t="str">
        <f>"ckool007@mail.ru"</f>
        <v>ckool007@mail.ru</v>
      </c>
      <c r="AI402" t="s">
        <v>299</v>
      </c>
      <c r="AJ402" t="s">
        <v>204</v>
      </c>
      <c r="AK402" t="s">
        <v>261</v>
      </c>
      <c r="AL402" t="s">
        <v>206</v>
      </c>
      <c r="AN402" t="s">
        <v>207</v>
      </c>
      <c r="AO402">
        <v>1</v>
      </c>
      <c r="AP402" t="s">
        <v>208</v>
      </c>
      <c r="AQ402" t="s">
        <v>209</v>
      </c>
      <c r="AR402" t="s">
        <v>210</v>
      </c>
      <c r="AV402" t="str">
        <f>"2021-01-24T23:21:33"</f>
        <v>2021-01-24T23:21:33</v>
      </c>
      <c r="AW402" t="s">
        <v>206</v>
      </c>
      <c r="AX402" t="s">
        <v>211</v>
      </c>
      <c r="AZ402" t="s">
        <v>209</v>
      </c>
      <c r="BI402" t="s">
        <v>212</v>
      </c>
      <c r="BJ402" t="s">
        <v>213</v>
      </c>
      <c r="BK402" t="s">
        <v>214</v>
      </c>
      <c r="BL402" t="s">
        <v>215</v>
      </c>
      <c r="BN402" t="s">
        <v>247</v>
      </c>
      <c r="BO402" t="s">
        <v>209</v>
      </c>
      <c r="BP402" t="s">
        <v>217</v>
      </c>
      <c r="BQ402" t="s">
        <v>270</v>
      </c>
      <c r="BS402" t="s">
        <v>219</v>
      </c>
      <c r="BT402" t="s">
        <v>220</v>
      </c>
      <c r="BU402" t="s">
        <v>206</v>
      </c>
      <c r="BX402" t="s">
        <v>221</v>
      </c>
      <c r="BY402" t="s">
        <v>221</v>
      </c>
      <c r="CA402" t="s">
        <v>263</v>
      </c>
      <c r="CB402" t="s">
        <v>223</v>
      </c>
      <c r="CC402" t="s">
        <v>209</v>
      </c>
      <c r="CE402" t="s">
        <v>242</v>
      </c>
      <c r="CJ402" t="s">
        <v>206</v>
      </c>
      <c r="CK402" t="s">
        <v>264</v>
      </c>
      <c r="CL402" t="s">
        <v>231</v>
      </c>
      <c r="CM402" t="s">
        <v>232</v>
      </c>
      <c r="CN402" t="s">
        <v>233</v>
      </c>
      <c r="CP402" t="s">
        <v>212</v>
      </c>
      <c r="CQ402" t="s">
        <v>212</v>
      </c>
      <c r="CR402" t="s">
        <v>212</v>
      </c>
      <c r="CS402" t="s">
        <v>212</v>
      </c>
      <c r="CY402" t="s">
        <v>212</v>
      </c>
      <c r="DB402" t="s">
        <v>234</v>
      </c>
      <c r="DE402" t="s">
        <v>212</v>
      </c>
      <c r="DF402" t="s">
        <v>212</v>
      </c>
      <c r="DG402" t="s">
        <v>235</v>
      </c>
      <c r="DH402" t="s">
        <v>212</v>
      </c>
      <c r="DJ402" t="s">
        <v>236</v>
      </c>
      <c r="DM402" t="s">
        <v>212</v>
      </c>
    </row>
    <row r="403" spans="1:117" x14ac:dyDescent="0.3">
      <c r="A403">
        <v>10189623</v>
      </c>
      <c r="B403">
        <v>174023</v>
      </c>
      <c r="C403" t="str">
        <f>"110805503016"</f>
        <v>110805503016</v>
      </c>
      <c r="D403" t="s">
        <v>1304</v>
      </c>
      <c r="E403" t="s">
        <v>1305</v>
      </c>
      <c r="F403" t="s">
        <v>1306</v>
      </c>
      <c r="G403" s="1">
        <v>40760</v>
      </c>
      <c r="I403" t="s">
        <v>240</v>
      </c>
      <c r="J403" t="s">
        <v>200</v>
      </c>
      <c r="K403" t="s">
        <v>201</v>
      </c>
      <c r="Q403" t="s">
        <v>212</v>
      </c>
      <c r="R403" t="str">
        <f>"КАЗАХСТАН, АКМОЛИНСКАЯ, СТЕПНОГОРСК, 17, 206"</f>
        <v>КАЗАХСТАН, АКМОЛИНСКАЯ, СТЕПНОГОРСК, 17, 206</v>
      </c>
      <c r="S403" t="str">
        <f>"ҚАЗАҚСТАН, АҚМОЛА, СТЕПНОГОР, 17, 206"</f>
        <v>ҚАЗАҚСТАН, АҚМОЛА, СТЕПНОГОР, 17, 206</v>
      </c>
      <c r="T403" t="str">
        <f>"17, 206"</f>
        <v>17, 206</v>
      </c>
      <c r="U403" t="str">
        <f>"17, 206"</f>
        <v>17, 206</v>
      </c>
      <c r="AC403" t="str">
        <f>"2019-01-30T00:00:00"</f>
        <v>2019-01-30T00:00:00</v>
      </c>
      <c r="AD403" t="str">
        <f>"61"</f>
        <v>61</v>
      </c>
      <c r="AE403" t="str">
        <f>"2023-09-01T09:08:40"</f>
        <v>2023-09-01T09:08:40</v>
      </c>
      <c r="AF403" t="str">
        <f>"2024-05-25T09:08:40"</f>
        <v>2024-05-25T09:08:40</v>
      </c>
      <c r="AG403" t="s">
        <v>202</v>
      </c>
      <c r="AI403" t="s">
        <v>274</v>
      </c>
      <c r="AJ403" t="s">
        <v>348</v>
      </c>
      <c r="AK403" t="s">
        <v>261</v>
      </c>
      <c r="AL403" t="s">
        <v>206</v>
      </c>
      <c r="AN403" t="s">
        <v>207</v>
      </c>
      <c r="AO403">
        <v>1</v>
      </c>
      <c r="AP403" t="s">
        <v>208</v>
      </c>
      <c r="AQ403" t="s">
        <v>209</v>
      </c>
      <c r="AR403" t="s">
        <v>262</v>
      </c>
      <c r="AW403" t="s">
        <v>206</v>
      </c>
      <c r="AX403" t="s">
        <v>211</v>
      </c>
      <c r="AZ403" t="s">
        <v>209</v>
      </c>
      <c r="BI403" t="s">
        <v>212</v>
      </c>
      <c r="BJ403" t="s">
        <v>213</v>
      </c>
      <c r="BK403" t="s">
        <v>214</v>
      </c>
      <c r="BL403" t="s">
        <v>215</v>
      </c>
      <c r="BN403" t="s">
        <v>216</v>
      </c>
      <c r="BO403" t="s">
        <v>209</v>
      </c>
      <c r="BP403" t="s">
        <v>415</v>
      </c>
      <c r="BQ403" t="s">
        <v>673</v>
      </c>
      <c r="BS403" t="s">
        <v>219</v>
      </c>
      <c r="BT403" t="s">
        <v>220</v>
      </c>
      <c r="BU403" t="s">
        <v>206</v>
      </c>
      <c r="BX403" t="s">
        <v>221</v>
      </c>
      <c r="BY403" t="s">
        <v>221</v>
      </c>
      <c r="CA403" t="s">
        <v>222</v>
      </c>
      <c r="CB403" t="s">
        <v>223</v>
      </c>
      <c r="CC403" t="s">
        <v>222</v>
      </c>
      <c r="CD403" t="s">
        <v>223</v>
      </c>
      <c r="CE403" t="s">
        <v>242</v>
      </c>
      <c r="CJ403" t="s">
        <v>206</v>
      </c>
      <c r="CK403" t="s">
        <v>230</v>
      </c>
      <c r="CL403" t="s">
        <v>231</v>
      </c>
      <c r="CM403" t="s">
        <v>232</v>
      </c>
      <c r="CN403" t="s">
        <v>233</v>
      </c>
      <c r="CP403" t="s">
        <v>212</v>
      </c>
      <c r="CQ403" t="s">
        <v>212</v>
      </c>
      <c r="CR403" t="s">
        <v>212</v>
      </c>
      <c r="CS403" t="s">
        <v>212</v>
      </c>
      <c r="CY403" t="s">
        <v>212</v>
      </c>
      <c r="DB403" t="s">
        <v>234</v>
      </c>
      <c r="DE403" t="s">
        <v>212</v>
      </c>
      <c r="DF403" t="s">
        <v>212</v>
      </c>
      <c r="DG403" t="s">
        <v>235</v>
      </c>
      <c r="DH403" t="s">
        <v>212</v>
      </c>
      <c r="DJ403" t="s">
        <v>236</v>
      </c>
      <c r="DM403" t="s">
        <v>212</v>
      </c>
    </row>
    <row r="404" spans="1:117" x14ac:dyDescent="0.3">
      <c r="A404">
        <v>10147825</v>
      </c>
      <c r="B404">
        <v>124654</v>
      </c>
      <c r="C404" t="str">
        <f>"090410652166"</f>
        <v>090410652166</v>
      </c>
      <c r="D404" t="s">
        <v>1307</v>
      </c>
      <c r="E404" t="s">
        <v>1308</v>
      </c>
      <c r="F404" t="s">
        <v>506</v>
      </c>
      <c r="G404" s="1">
        <v>39913</v>
      </c>
      <c r="I404" t="s">
        <v>199</v>
      </c>
      <c r="J404" t="s">
        <v>200</v>
      </c>
      <c r="K404" t="s">
        <v>201</v>
      </c>
      <c r="R404" t="str">
        <f>"АНДОРРА, АКМОЛИНСКАЯ, СТЕПНОГОРСК, 69, 45"</f>
        <v>АНДОРРА, АКМОЛИНСКАЯ, СТЕПНОГОРСК, 69, 45</v>
      </c>
      <c r="S404" t="str">
        <f>"АНДОРРА, АҚМОЛА, СТЕПНОГОР, 69, 45"</f>
        <v>АНДОРРА, АҚМОЛА, СТЕПНОГОР, 69, 45</v>
      </c>
      <c r="T404" t="str">
        <f>"69, 45"</f>
        <v>69, 45</v>
      </c>
      <c r="U404" t="str">
        <f>"69, 45"</f>
        <v>69, 45</v>
      </c>
      <c r="AC404" t="str">
        <f>"2018-09-03T00:00:00"</f>
        <v>2018-09-03T00:00:00</v>
      </c>
      <c r="AD404" t="str">
        <f>"4"</f>
        <v>4</v>
      </c>
      <c r="AG404" t="s">
        <v>202</v>
      </c>
      <c r="AH404" t="str">
        <f>"ckool007@mail.ru"</f>
        <v>ckool007@mail.ru</v>
      </c>
      <c r="AI404" t="s">
        <v>299</v>
      </c>
      <c r="AJ404" t="s">
        <v>204</v>
      </c>
      <c r="AK404" t="s">
        <v>253</v>
      </c>
      <c r="AL404" t="s">
        <v>206</v>
      </c>
      <c r="AN404" t="s">
        <v>254</v>
      </c>
      <c r="AO404">
        <v>1</v>
      </c>
      <c r="AP404" t="s">
        <v>208</v>
      </c>
      <c r="AQ404" t="s">
        <v>209</v>
      </c>
      <c r="AR404" t="s">
        <v>210</v>
      </c>
      <c r="AW404" t="s">
        <v>206</v>
      </c>
      <c r="AX404" t="s">
        <v>211</v>
      </c>
      <c r="AZ404" t="s">
        <v>209</v>
      </c>
      <c r="BI404" t="s">
        <v>212</v>
      </c>
      <c r="BJ404" t="s">
        <v>213</v>
      </c>
      <c r="BK404" t="s">
        <v>214</v>
      </c>
      <c r="BL404" t="s">
        <v>215</v>
      </c>
      <c r="BN404" t="s">
        <v>216</v>
      </c>
      <c r="BO404" t="s">
        <v>209</v>
      </c>
      <c r="BP404" t="s">
        <v>241</v>
      </c>
      <c r="BQ404">
        <v>4</v>
      </c>
      <c r="BS404" t="s">
        <v>219</v>
      </c>
      <c r="BT404" t="s">
        <v>220</v>
      </c>
      <c r="BU404" t="s">
        <v>206</v>
      </c>
      <c r="BX404" t="s">
        <v>221</v>
      </c>
      <c r="BY404" t="s">
        <v>221</v>
      </c>
      <c r="CA404" t="s">
        <v>222</v>
      </c>
      <c r="CB404" t="s">
        <v>223</v>
      </c>
      <c r="CC404" t="s">
        <v>353</v>
      </c>
      <c r="CD404" t="s">
        <v>223</v>
      </c>
      <c r="CE404" t="s">
        <v>242</v>
      </c>
      <c r="CJ404" t="s">
        <v>206</v>
      </c>
      <c r="CK404" t="s">
        <v>230</v>
      </c>
      <c r="CL404" t="s">
        <v>231</v>
      </c>
      <c r="CM404" t="s">
        <v>232</v>
      </c>
      <c r="CN404" t="s">
        <v>233</v>
      </c>
      <c r="CP404" t="s">
        <v>212</v>
      </c>
      <c r="CQ404" t="s">
        <v>212</v>
      </c>
      <c r="CR404" t="s">
        <v>212</v>
      </c>
      <c r="CS404" t="s">
        <v>212</v>
      </c>
      <c r="CY404" t="s">
        <v>212</v>
      </c>
      <c r="DB404" t="s">
        <v>234</v>
      </c>
      <c r="DE404" t="s">
        <v>212</v>
      </c>
      <c r="DF404" t="s">
        <v>212</v>
      </c>
      <c r="DG404" t="s">
        <v>235</v>
      </c>
      <c r="DH404" t="s">
        <v>212</v>
      </c>
      <c r="DJ404" t="s">
        <v>236</v>
      </c>
      <c r="DM404" t="s">
        <v>212</v>
      </c>
    </row>
    <row r="405" spans="1:117" x14ac:dyDescent="0.3">
      <c r="A405">
        <v>10145443</v>
      </c>
      <c r="B405">
        <v>174537</v>
      </c>
      <c r="C405" t="str">
        <f>"100323550175"</f>
        <v>100323550175</v>
      </c>
      <c r="D405" t="s">
        <v>1309</v>
      </c>
      <c r="E405" t="s">
        <v>1310</v>
      </c>
      <c r="F405" t="s">
        <v>963</v>
      </c>
      <c r="G405" s="1">
        <v>40260</v>
      </c>
      <c r="I405" t="s">
        <v>240</v>
      </c>
      <c r="J405" t="s">
        <v>200</v>
      </c>
      <c r="K405" t="s">
        <v>201</v>
      </c>
      <c r="R405" t="str">
        <f>"АНДОРРА, АКМОЛИНСКАЯ, СТЕПНОГОРСК, СТЕПНОГОРСК, 68, 29"</f>
        <v>АНДОРРА, АКМОЛИНСКАЯ, СТЕПНОГОРСК, СТЕПНОГОРСК, 68, 29</v>
      </c>
      <c r="S405" t="str">
        <f>"АНДОРРА, АҚМОЛА, СТЕПНОГОР, СТЕПНОГОРСК, 68, 29"</f>
        <v>АНДОРРА, АҚМОЛА, СТЕПНОГОР, СТЕПНОГОРСК, 68, 29</v>
      </c>
      <c r="T405" t="str">
        <f>"СТЕПНОГОРСК, 68, 29"</f>
        <v>СТЕПНОГОРСК, 68, 29</v>
      </c>
      <c r="U405" t="str">
        <f>"СТЕПНОГОРСК, 68, 29"</f>
        <v>СТЕПНОГОРСК, 68, 29</v>
      </c>
      <c r="AC405" t="str">
        <f>"2018-11-20T00:00:00"</f>
        <v>2018-11-20T00:00:00</v>
      </c>
      <c r="AD405" t="str">
        <f>"41"</f>
        <v>41</v>
      </c>
      <c r="AG405" t="s">
        <v>333</v>
      </c>
      <c r="AI405" t="s">
        <v>274</v>
      </c>
      <c r="AJ405" t="s">
        <v>300</v>
      </c>
      <c r="AK405" t="s">
        <v>253</v>
      </c>
      <c r="AL405" t="s">
        <v>206</v>
      </c>
      <c r="AN405" t="s">
        <v>254</v>
      </c>
      <c r="AO405">
        <v>1</v>
      </c>
      <c r="AP405" t="s">
        <v>208</v>
      </c>
      <c r="AQ405" t="s">
        <v>209</v>
      </c>
      <c r="AR405" t="s">
        <v>210</v>
      </c>
      <c r="AW405" t="s">
        <v>206</v>
      </c>
      <c r="AX405" t="s">
        <v>211</v>
      </c>
      <c r="AZ405" t="s">
        <v>209</v>
      </c>
      <c r="BI405" t="s">
        <v>212</v>
      </c>
      <c r="BJ405" t="s">
        <v>213</v>
      </c>
      <c r="BK405" t="s">
        <v>214</v>
      </c>
      <c r="BL405" t="s">
        <v>215</v>
      </c>
      <c r="BM405" t="s">
        <v>221</v>
      </c>
      <c r="BN405" t="s">
        <v>247</v>
      </c>
      <c r="BO405" t="s">
        <v>209</v>
      </c>
      <c r="BP405" t="s">
        <v>241</v>
      </c>
      <c r="BQ405">
        <v>3</v>
      </c>
      <c r="BS405" t="s">
        <v>219</v>
      </c>
      <c r="BT405" t="s">
        <v>220</v>
      </c>
      <c r="BU405" t="s">
        <v>206</v>
      </c>
      <c r="BX405" t="s">
        <v>221</v>
      </c>
      <c r="BY405" t="s">
        <v>221</v>
      </c>
      <c r="CA405" t="s">
        <v>256</v>
      </c>
      <c r="CB405" t="s">
        <v>223</v>
      </c>
      <c r="CC405" t="s">
        <v>256</v>
      </c>
      <c r="CD405" t="s">
        <v>223</v>
      </c>
      <c r="CE405" t="s">
        <v>242</v>
      </c>
      <c r="CJ405" t="s">
        <v>206</v>
      </c>
      <c r="CK405" t="s">
        <v>230</v>
      </c>
      <c r="CL405" t="s">
        <v>231</v>
      </c>
      <c r="CM405" t="s">
        <v>232</v>
      </c>
      <c r="CN405" t="s">
        <v>233</v>
      </c>
      <c r="CP405" t="s">
        <v>212</v>
      </c>
      <c r="CQ405" t="s">
        <v>212</v>
      </c>
      <c r="CR405" t="s">
        <v>212</v>
      </c>
      <c r="CS405" t="s">
        <v>212</v>
      </c>
      <c r="CY405" t="s">
        <v>212</v>
      </c>
      <c r="DB405" t="s">
        <v>234</v>
      </c>
      <c r="DE405" t="s">
        <v>212</v>
      </c>
      <c r="DF405" t="s">
        <v>212</v>
      </c>
      <c r="DG405" t="s">
        <v>235</v>
      </c>
      <c r="DH405" t="s">
        <v>212</v>
      </c>
      <c r="DJ405" t="s">
        <v>236</v>
      </c>
      <c r="DM405" t="s">
        <v>212</v>
      </c>
    </row>
    <row r="406" spans="1:117" x14ac:dyDescent="0.3">
      <c r="A406">
        <v>25891666</v>
      </c>
      <c r="B406">
        <v>9966903</v>
      </c>
      <c r="C406" t="str">
        <f>"161122503878"</f>
        <v>161122503878</v>
      </c>
      <c r="D406" t="s">
        <v>1311</v>
      </c>
      <c r="E406" t="s">
        <v>425</v>
      </c>
      <c r="F406" t="s">
        <v>710</v>
      </c>
      <c r="G406" s="1">
        <v>42696</v>
      </c>
      <c r="I406" t="s">
        <v>240</v>
      </c>
      <c r="J406" t="s">
        <v>200</v>
      </c>
      <c r="K406" t="s">
        <v>201</v>
      </c>
      <c r="Q406" t="s">
        <v>212</v>
      </c>
      <c r="R406" t="str">
        <f>"КАЗАХСТАН, АКМОЛИНСКАЯ, СТЕПНОГОРСК, 43, 44"</f>
        <v>КАЗАХСТАН, АКМОЛИНСКАЯ, СТЕПНОГОРСК, 43, 44</v>
      </c>
      <c r="S406" t="str">
        <f>"ҚАЗАҚСТАН, АҚМОЛА, СТЕПНОГОР, 43, 44"</f>
        <v>ҚАЗАҚСТАН, АҚМОЛА, СТЕПНОГОР, 43, 44</v>
      </c>
      <c r="T406" t="str">
        <f>"43, 44"</f>
        <v>43, 44</v>
      </c>
      <c r="U406" t="str">
        <f>"43, 44"</f>
        <v>43, 44</v>
      </c>
      <c r="AC406" t="str">
        <f>"2023-08-25T00:00:00"</f>
        <v>2023-08-25T00:00:00</v>
      </c>
      <c r="AD406" t="str">
        <f>"202"</f>
        <v>202</v>
      </c>
      <c r="AG406" t="s">
        <v>202</v>
      </c>
      <c r="AI406" t="s">
        <v>274</v>
      </c>
      <c r="AJ406" t="s">
        <v>1298</v>
      </c>
      <c r="AK406" t="s">
        <v>205</v>
      </c>
      <c r="AL406" t="s">
        <v>206</v>
      </c>
      <c r="AN406" t="s">
        <v>207</v>
      </c>
      <c r="AO406">
        <v>2</v>
      </c>
      <c r="AP406" t="s">
        <v>208</v>
      </c>
      <c r="AQ406" t="s">
        <v>209</v>
      </c>
      <c r="AR406" t="s">
        <v>502</v>
      </c>
      <c r="AW406" t="s">
        <v>212</v>
      </c>
      <c r="AZ406" t="s">
        <v>209</v>
      </c>
      <c r="BI406" t="s">
        <v>212</v>
      </c>
      <c r="BJ406" t="s">
        <v>213</v>
      </c>
      <c r="BK406" t="s">
        <v>214</v>
      </c>
      <c r="BL406" t="s">
        <v>215</v>
      </c>
      <c r="BN406" t="s">
        <v>661</v>
      </c>
      <c r="BO406" t="s">
        <v>209</v>
      </c>
      <c r="BS406" t="s">
        <v>220</v>
      </c>
      <c r="CA406" t="s">
        <v>287</v>
      </c>
      <c r="CC406" t="s">
        <v>209</v>
      </c>
      <c r="CE406" t="s">
        <v>242</v>
      </c>
      <c r="CJ406" t="s">
        <v>206</v>
      </c>
      <c r="CK406" t="s">
        <v>230</v>
      </c>
      <c r="CL406" t="s">
        <v>231</v>
      </c>
      <c r="CM406" t="s">
        <v>232</v>
      </c>
      <c r="CN406" t="s">
        <v>233</v>
      </c>
      <c r="CP406" t="s">
        <v>212</v>
      </c>
      <c r="CQ406" t="s">
        <v>212</v>
      </c>
      <c r="CR406" t="s">
        <v>212</v>
      </c>
      <c r="CS406" t="s">
        <v>212</v>
      </c>
      <c r="CY406" t="s">
        <v>212</v>
      </c>
      <c r="DB406" t="s">
        <v>234</v>
      </c>
      <c r="DE406" t="s">
        <v>212</v>
      </c>
      <c r="DF406" t="s">
        <v>212</v>
      </c>
      <c r="DG406" t="s">
        <v>235</v>
      </c>
      <c r="DH406" t="s">
        <v>212</v>
      </c>
      <c r="DJ406" t="s">
        <v>236</v>
      </c>
      <c r="DM406" t="s">
        <v>212</v>
      </c>
    </row>
    <row r="407" spans="1:117" x14ac:dyDescent="0.3">
      <c r="A407">
        <v>359238</v>
      </c>
      <c r="B407">
        <v>324208</v>
      </c>
      <c r="C407" t="str">
        <f>"070101000337"</f>
        <v>070101000337</v>
      </c>
      <c r="D407" t="s">
        <v>1312</v>
      </c>
      <c r="E407" t="s">
        <v>1313</v>
      </c>
      <c r="F407" t="s">
        <v>1314</v>
      </c>
      <c r="G407" s="1">
        <v>39083</v>
      </c>
      <c r="I407" t="s">
        <v>240</v>
      </c>
      <c r="J407" t="s">
        <v>528</v>
      </c>
      <c r="K407" t="s">
        <v>529</v>
      </c>
      <c r="L407" t="s">
        <v>212</v>
      </c>
      <c r="Q407" t="s">
        <v>212</v>
      </c>
      <c r="R407" t="str">
        <f>"АНДОРРА, АКМОЛИНСКАЯ, СТЕПНОГОРСК, СТЕПНОГОРСК, 71, 55"</f>
        <v>АНДОРРА, АКМОЛИНСКАЯ, СТЕПНОГОРСК, СТЕПНОГОРСК, 71, 55</v>
      </c>
      <c r="S407" t="str">
        <f>"АНДОРРА, АҚМОЛА, СТЕПНОГОР, СТЕПНОГОРСК, 71, 55"</f>
        <v>АНДОРРА, АҚМОЛА, СТЕПНОГОР, СТЕПНОГОРСК, 71, 55</v>
      </c>
      <c r="T407" t="str">
        <f>"СТЕПНОГОРСК, 71, 55"</f>
        <v>СТЕПНОГОРСК, 71, 55</v>
      </c>
      <c r="U407" t="str">
        <f>"СТЕПНОГОРСК, 71, 55"</f>
        <v>СТЕПНОГОРСК, 71, 55</v>
      </c>
      <c r="AC407" t="str">
        <f>"2018-08-29T00:00:00"</f>
        <v>2018-08-29T00:00:00</v>
      </c>
      <c r="AD407" t="str">
        <f>"141"</f>
        <v>141</v>
      </c>
      <c r="AG407" t="s">
        <v>530</v>
      </c>
      <c r="AH407" t="str">
        <f>"rustam2023@mail.ru"</f>
        <v>rustam2023@mail.ru</v>
      </c>
      <c r="AI407" t="s">
        <v>274</v>
      </c>
      <c r="AJ407" t="s">
        <v>204</v>
      </c>
      <c r="AK407" t="s">
        <v>261</v>
      </c>
      <c r="AL407" t="s">
        <v>206</v>
      </c>
      <c r="AN407" t="s">
        <v>207</v>
      </c>
      <c r="AO407">
        <v>1</v>
      </c>
      <c r="AP407" t="s">
        <v>208</v>
      </c>
      <c r="AQ407" t="s">
        <v>209</v>
      </c>
      <c r="AR407" t="s">
        <v>210</v>
      </c>
      <c r="AV407" t="str">
        <f>"2021-01-24T23:57:40"</f>
        <v>2021-01-24T23:57:40</v>
      </c>
      <c r="AW407" t="s">
        <v>206</v>
      </c>
      <c r="AX407" t="s">
        <v>211</v>
      </c>
      <c r="AZ407" t="s">
        <v>209</v>
      </c>
      <c r="BI407" t="s">
        <v>212</v>
      </c>
      <c r="BJ407" t="s">
        <v>213</v>
      </c>
      <c r="BK407" t="s">
        <v>214</v>
      </c>
      <c r="BL407" t="s">
        <v>215</v>
      </c>
      <c r="BN407" t="s">
        <v>247</v>
      </c>
      <c r="BO407" t="s">
        <v>209</v>
      </c>
      <c r="BP407" t="s">
        <v>241</v>
      </c>
      <c r="BQ407">
        <v>4</v>
      </c>
      <c r="BS407" t="s">
        <v>219</v>
      </c>
      <c r="BT407" t="s">
        <v>220</v>
      </c>
      <c r="BU407" t="s">
        <v>206</v>
      </c>
      <c r="BX407" t="s">
        <v>234</v>
      </c>
      <c r="BY407" t="s">
        <v>234</v>
      </c>
      <c r="CA407" t="s">
        <v>249</v>
      </c>
      <c r="CB407" t="s">
        <v>223</v>
      </c>
      <c r="CC407" t="s">
        <v>209</v>
      </c>
      <c r="CE407" t="s">
        <v>225</v>
      </c>
      <c r="CF407" t="s">
        <v>226</v>
      </c>
      <c r="CG407" t="s">
        <v>343</v>
      </c>
      <c r="CH407" t="s">
        <v>228</v>
      </c>
      <c r="CI407" t="s">
        <v>1315</v>
      </c>
      <c r="CJ407" t="s">
        <v>206</v>
      </c>
      <c r="CK407" t="s">
        <v>230</v>
      </c>
      <c r="CL407" t="s">
        <v>231</v>
      </c>
      <c r="CM407" t="s">
        <v>232</v>
      </c>
      <c r="CN407" t="s">
        <v>233</v>
      </c>
      <c r="CP407" t="s">
        <v>212</v>
      </c>
      <c r="CQ407" t="s">
        <v>212</v>
      </c>
      <c r="CR407" t="s">
        <v>212</v>
      </c>
      <c r="CS407" t="s">
        <v>212</v>
      </c>
      <c r="CY407" t="s">
        <v>212</v>
      </c>
      <c r="DB407" t="s">
        <v>234</v>
      </c>
      <c r="DE407" t="s">
        <v>212</v>
      </c>
      <c r="DF407" t="s">
        <v>212</v>
      </c>
      <c r="DG407" t="s">
        <v>235</v>
      </c>
      <c r="DH407" t="s">
        <v>212</v>
      </c>
      <c r="DJ407" t="s">
        <v>236</v>
      </c>
      <c r="DM407" t="s">
        <v>212</v>
      </c>
    </row>
    <row r="408" spans="1:117" x14ac:dyDescent="0.3">
      <c r="A408">
        <v>359126</v>
      </c>
      <c r="B408">
        <v>324103</v>
      </c>
      <c r="C408" t="str">
        <f>"090326550860"</f>
        <v>090326550860</v>
      </c>
      <c r="D408" t="s">
        <v>515</v>
      </c>
      <c r="E408" t="s">
        <v>828</v>
      </c>
      <c r="F408" t="s">
        <v>259</v>
      </c>
      <c r="G408" s="1">
        <v>39898</v>
      </c>
      <c r="I408" t="s">
        <v>240</v>
      </c>
      <c r="J408" t="s">
        <v>200</v>
      </c>
      <c r="K408" t="s">
        <v>260</v>
      </c>
      <c r="R408" t="str">
        <f>"АНДОРРА, АКМОЛИНСКАЯ, СТЕПНОГОРСК, 36, 53"</f>
        <v>АНДОРРА, АКМОЛИНСКАЯ, СТЕПНОГОРСК, 36, 53</v>
      </c>
      <c r="S408" t="str">
        <f>"АНДОРРА, АҚМОЛА, СТЕПНОГОР, 36, 53"</f>
        <v>АНДОРРА, АҚМОЛА, СТЕПНОГОР, 36, 53</v>
      </c>
      <c r="T408" t="str">
        <f>"36, 53"</f>
        <v>36, 53</v>
      </c>
      <c r="U408" t="str">
        <f>"36, 53"</f>
        <v>36, 53</v>
      </c>
      <c r="AC408" t="str">
        <f>"2018-08-29T00:00:00"</f>
        <v>2018-08-29T00:00:00</v>
      </c>
      <c r="AD408" t="str">
        <f>"141"</f>
        <v>141</v>
      </c>
      <c r="AG408" t="s">
        <v>202</v>
      </c>
      <c r="AH408" t="str">
        <f>"ckool007@mail.ru"</f>
        <v>ckool007@mail.ru</v>
      </c>
      <c r="AI408" t="s">
        <v>269</v>
      </c>
      <c r="AJ408" t="s">
        <v>286</v>
      </c>
      <c r="AK408" t="s">
        <v>246</v>
      </c>
      <c r="AL408" t="s">
        <v>206</v>
      </c>
      <c r="AN408" t="s">
        <v>207</v>
      </c>
      <c r="AO408">
        <v>1</v>
      </c>
      <c r="AP408" t="s">
        <v>208</v>
      </c>
      <c r="AQ408" t="s">
        <v>209</v>
      </c>
      <c r="AR408" t="s">
        <v>210</v>
      </c>
      <c r="AW408" t="s">
        <v>206</v>
      </c>
      <c r="AX408" t="s">
        <v>211</v>
      </c>
      <c r="AZ408" t="s">
        <v>209</v>
      </c>
      <c r="BI408" t="s">
        <v>212</v>
      </c>
      <c r="BJ408" t="s">
        <v>213</v>
      </c>
      <c r="BK408" t="s">
        <v>214</v>
      </c>
      <c r="BL408" t="s">
        <v>215</v>
      </c>
      <c r="BN408" t="s">
        <v>247</v>
      </c>
      <c r="BO408" t="s">
        <v>209</v>
      </c>
      <c r="BP408" t="s">
        <v>241</v>
      </c>
      <c r="BQ408">
        <v>3</v>
      </c>
      <c r="BS408" t="s">
        <v>219</v>
      </c>
      <c r="BT408" t="s">
        <v>220</v>
      </c>
      <c r="BU408" t="s">
        <v>206</v>
      </c>
      <c r="BX408" t="s">
        <v>221</v>
      </c>
      <c r="BY408" t="s">
        <v>221</v>
      </c>
      <c r="CA408" t="s">
        <v>287</v>
      </c>
      <c r="CC408" t="s">
        <v>209</v>
      </c>
      <c r="CE408" t="s">
        <v>242</v>
      </c>
      <c r="CJ408" t="s">
        <v>206</v>
      </c>
      <c r="CK408" t="s">
        <v>291</v>
      </c>
      <c r="CM408" t="s">
        <v>292</v>
      </c>
      <c r="CN408" t="s">
        <v>233</v>
      </c>
      <c r="CP408" t="s">
        <v>212</v>
      </c>
      <c r="CQ408" t="s">
        <v>212</v>
      </c>
      <c r="CR408" t="s">
        <v>212</v>
      </c>
      <c r="CS408" t="s">
        <v>212</v>
      </c>
      <c r="CY408" t="s">
        <v>212</v>
      </c>
      <c r="DB408" t="s">
        <v>234</v>
      </c>
      <c r="DE408" t="s">
        <v>212</v>
      </c>
      <c r="DF408" t="s">
        <v>212</v>
      </c>
      <c r="DG408" t="s">
        <v>235</v>
      </c>
      <c r="DH408" t="s">
        <v>212</v>
      </c>
      <c r="DJ408" t="s">
        <v>236</v>
      </c>
      <c r="DM408" t="s">
        <v>206</v>
      </c>
    </row>
    <row r="409" spans="1:117" x14ac:dyDescent="0.3">
      <c r="A409">
        <v>359060</v>
      </c>
      <c r="B409">
        <v>324045</v>
      </c>
      <c r="C409" t="str">
        <f>"101121601009"</f>
        <v>101121601009</v>
      </c>
      <c r="D409" t="s">
        <v>1316</v>
      </c>
      <c r="E409" t="s">
        <v>505</v>
      </c>
      <c r="G409" s="1">
        <v>40503</v>
      </c>
      <c r="I409" t="s">
        <v>199</v>
      </c>
      <c r="J409" t="s">
        <v>200</v>
      </c>
      <c r="K409" t="s">
        <v>201</v>
      </c>
      <c r="R409" t="str">
        <f>"АНДОРРА, АКМОЛИНСКАЯ, СТЕПНОГОРСК, 51, 109"</f>
        <v>АНДОРРА, АКМОЛИНСКАЯ, СТЕПНОГОРСК, 51, 109</v>
      </c>
      <c r="S409" t="str">
        <f>"АНДОРРА, АҚМОЛА, СТЕПНОГОР, 51, 109"</f>
        <v>АНДОРРА, АҚМОЛА, СТЕПНОГОР, 51, 109</v>
      </c>
      <c r="T409" t="str">
        <f>"51, 109"</f>
        <v>51, 109</v>
      </c>
      <c r="U409" t="str">
        <f>"51, 109"</f>
        <v>51, 109</v>
      </c>
      <c r="AC409" t="str">
        <f>"2018-08-29T00:00:00"</f>
        <v>2018-08-29T00:00:00</v>
      </c>
      <c r="AD409" t="str">
        <f>"141"</f>
        <v>141</v>
      </c>
      <c r="AG409" t="s">
        <v>202</v>
      </c>
      <c r="AI409" t="s">
        <v>274</v>
      </c>
      <c r="AJ409" t="s">
        <v>300</v>
      </c>
      <c r="AK409" t="s">
        <v>261</v>
      </c>
      <c r="AL409" t="s">
        <v>206</v>
      </c>
      <c r="AN409" t="s">
        <v>207</v>
      </c>
      <c r="AO409">
        <v>1</v>
      </c>
      <c r="AP409" t="s">
        <v>208</v>
      </c>
      <c r="AQ409" t="s">
        <v>209</v>
      </c>
      <c r="AR409" t="s">
        <v>210</v>
      </c>
      <c r="AW409" t="s">
        <v>206</v>
      </c>
      <c r="AX409" t="s">
        <v>211</v>
      </c>
      <c r="AZ409" t="s">
        <v>209</v>
      </c>
      <c r="BI409" t="s">
        <v>212</v>
      </c>
      <c r="BJ409" t="s">
        <v>213</v>
      </c>
      <c r="BK409" t="s">
        <v>214</v>
      </c>
      <c r="BL409" t="s">
        <v>215</v>
      </c>
      <c r="BN409" t="s">
        <v>216</v>
      </c>
      <c r="BO409" t="s">
        <v>209</v>
      </c>
      <c r="BP409" t="s">
        <v>241</v>
      </c>
      <c r="BQ409">
        <v>4</v>
      </c>
      <c r="BS409" t="s">
        <v>219</v>
      </c>
      <c r="BT409" t="s">
        <v>220</v>
      </c>
      <c r="BU409" t="s">
        <v>206</v>
      </c>
      <c r="BX409" t="s">
        <v>221</v>
      </c>
      <c r="BY409" t="s">
        <v>221</v>
      </c>
      <c r="CA409" t="s">
        <v>263</v>
      </c>
      <c r="CB409" t="s">
        <v>223</v>
      </c>
      <c r="CC409" t="s">
        <v>222</v>
      </c>
      <c r="CD409" t="s">
        <v>223</v>
      </c>
      <c r="CE409" t="s">
        <v>225</v>
      </c>
      <c r="CF409" t="s">
        <v>226</v>
      </c>
      <c r="CG409" t="s">
        <v>227</v>
      </c>
      <c r="CH409" t="s">
        <v>209</v>
      </c>
      <c r="CI409" t="s">
        <v>1317</v>
      </c>
      <c r="CJ409" t="s">
        <v>206</v>
      </c>
      <c r="CK409" t="s">
        <v>230</v>
      </c>
      <c r="CL409" t="s">
        <v>231</v>
      </c>
      <c r="CM409" t="s">
        <v>232</v>
      </c>
      <c r="CN409" t="s">
        <v>233</v>
      </c>
      <c r="CP409" t="s">
        <v>212</v>
      </c>
      <c r="CQ409" t="s">
        <v>212</v>
      </c>
      <c r="CR409" t="s">
        <v>212</v>
      </c>
      <c r="CS409" t="s">
        <v>212</v>
      </c>
      <c r="CY409" t="s">
        <v>212</v>
      </c>
      <c r="DB409" t="s">
        <v>234</v>
      </c>
      <c r="DE409" t="s">
        <v>212</v>
      </c>
      <c r="DF409" t="s">
        <v>212</v>
      </c>
      <c r="DG409" t="s">
        <v>235</v>
      </c>
      <c r="DH409" t="s">
        <v>212</v>
      </c>
      <c r="DJ409" t="s">
        <v>236</v>
      </c>
      <c r="DM409" t="s">
        <v>212</v>
      </c>
    </row>
    <row r="410" spans="1:117" x14ac:dyDescent="0.3">
      <c r="A410">
        <v>358813</v>
      </c>
      <c r="B410">
        <v>323815</v>
      </c>
      <c r="C410" t="str">
        <f>"121129604764"</f>
        <v>121129604764</v>
      </c>
      <c r="D410" t="s">
        <v>1206</v>
      </c>
      <c r="E410" t="s">
        <v>950</v>
      </c>
      <c r="F410" t="s">
        <v>1318</v>
      </c>
      <c r="G410" s="1">
        <v>41242</v>
      </c>
      <c r="I410" t="s">
        <v>199</v>
      </c>
      <c r="J410" t="s">
        <v>200</v>
      </c>
      <c r="K410" t="s">
        <v>201</v>
      </c>
      <c r="Q410" t="s">
        <v>212</v>
      </c>
      <c r="R410" t="str">
        <f>"КАЗАХСТАН, АКМОЛИНСКАЯ, СТЕПНОГОРСК, 10, 105"</f>
        <v>КАЗАХСТАН, АКМОЛИНСКАЯ, СТЕПНОГОРСК, 10, 105</v>
      </c>
      <c r="S410" t="str">
        <f>"ҚАЗАҚСТАН, АҚМОЛА, СТЕПНОГОР, 10, 105"</f>
        <v>ҚАЗАҚСТАН, АҚМОЛА, СТЕПНОГОР, 10, 105</v>
      </c>
      <c r="T410" t="str">
        <f>"10, 105"</f>
        <v>10, 105</v>
      </c>
      <c r="U410" t="str">
        <f>"10, 105"</f>
        <v>10, 105</v>
      </c>
      <c r="AC410" t="str">
        <f>"2023-11-06T00:00:00"</f>
        <v>2023-11-06T00:00:00</v>
      </c>
      <c r="AD410" t="str">
        <f>"102"</f>
        <v>102</v>
      </c>
      <c r="AE410" t="str">
        <f>"2023-09-01T17:56:46"</f>
        <v>2023-09-01T17:56:46</v>
      </c>
      <c r="AF410" t="str">
        <f>"2024-05-25T17:56:46"</f>
        <v>2024-05-25T17:56:46</v>
      </c>
      <c r="AG410" t="s">
        <v>202</v>
      </c>
      <c r="AI410" t="s">
        <v>203</v>
      </c>
      <c r="AJ410" t="s">
        <v>419</v>
      </c>
      <c r="AK410" t="s">
        <v>434</v>
      </c>
      <c r="AL410" t="s">
        <v>206</v>
      </c>
      <c r="AN410" t="s">
        <v>254</v>
      </c>
      <c r="AO410">
        <v>1</v>
      </c>
      <c r="AP410" t="s">
        <v>208</v>
      </c>
      <c r="AQ410" t="s">
        <v>209</v>
      </c>
      <c r="AR410" t="s">
        <v>210</v>
      </c>
      <c r="AW410" t="s">
        <v>206</v>
      </c>
      <c r="AX410" t="s">
        <v>211</v>
      </c>
      <c r="AZ410" t="s">
        <v>209</v>
      </c>
      <c r="BI410" t="s">
        <v>212</v>
      </c>
      <c r="BJ410" t="s">
        <v>213</v>
      </c>
      <c r="BK410" t="s">
        <v>214</v>
      </c>
      <c r="BL410" t="s">
        <v>215</v>
      </c>
      <c r="BN410" t="s">
        <v>216</v>
      </c>
      <c r="BO410" t="s">
        <v>209</v>
      </c>
      <c r="BP410" t="s">
        <v>415</v>
      </c>
      <c r="BQ410" t="s">
        <v>493</v>
      </c>
      <c r="BS410" t="s">
        <v>219</v>
      </c>
      <c r="BT410" t="s">
        <v>220</v>
      </c>
      <c r="BU410" t="s">
        <v>206</v>
      </c>
      <c r="BX410" t="s">
        <v>221</v>
      </c>
      <c r="BY410" t="s">
        <v>221</v>
      </c>
      <c r="CA410" t="s">
        <v>979</v>
      </c>
      <c r="CB410" t="s">
        <v>223</v>
      </c>
      <c r="CC410" t="s">
        <v>222</v>
      </c>
      <c r="CD410" t="s">
        <v>223</v>
      </c>
      <c r="CE410" t="s">
        <v>242</v>
      </c>
      <c r="CJ410" t="s">
        <v>206</v>
      </c>
      <c r="CK410" t="s">
        <v>230</v>
      </c>
      <c r="CL410" t="s">
        <v>231</v>
      </c>
      <c r="CM410" t="s">
        <v>232</v>
      </c>
      <c r="CN410" t="s">
        <v>233</v>
      </c>
      <c r="CP410" t="s">
        <v>212</v>
      </c>
      <c r="CQ410" t="s">
        <v>212</v>
      </c>
      <c r="CR410" t="s">
        <v>212</v>
      </c>
      <c r="CS410" t="s">
        <v>212</v>
      </c>
      <c r="CY410" t="s">
        <v>212</v>
      </c>
      <c r="DB410" t="s">
        <v>234</v>
      </c>
      <c r="DE410" t="s">
        <v>212</v>
      </c>
      <c r="DF410" t="s">
        <v>212</v>
      </c>
      <c r="DG410" t="s">
        <v>235</v>
      </c>
      <c r="DH410" t="s">
        <v>212</v>
      </c>
      <c r="DJ410" t="s">
        <v>236</v>
      </c>
      <c r="DM410" t="s">
        <v>206</v>
      </c>
    </row>
    <row r="411" spans="1:117" x14ac:dyDescent="0.3">
      <c r="A411">
        <v>25898981</v>
      </c>
      <c r="B411">
        <v>9695671</v>
      </c>
      <c r="C411" t="str">
        <f>"170824505502"</f>
        <v>170824505502</v>
      </c>
      <c r="D411" t="s">
        <v>1319</v>
      </c>
      <c r="E411" t="s">
        <v>842</v>
      </c>
      <c r="F411" t="s">
        <v>676</v>
      </c>
      <c r="G411" s="1">
        <v>42971</v>
      </c>
      <c r="I411" t="s">
        <v>240</v>
      </c>
      <c r="J411" t="s">
        <v>200</v>
      </c>
      <c r="K411" t="s">
        <v>268</v>
      </c>
      <c r="Q411" t="s">
        <v>212</v>
      </c>
      <c r="R411" t="str">
        <f>"КАЗАХСТАН, АКМОЛИНСКАЯ, СТЕПНОГОРСК, 10, 86"</f>
        <v>КАЗАХСТАН, АКМОЛИНСКАЯ, СТЕПНОГОРСК, 10, 86</v>
      </c>
      <c r="S411" t="str">
        <f>"ҚАЗАҚСТАН, АҚМОЛА, СТЕПНОГОР, 10, 86"</f>
        <v>ҚАЗАҚСТАН, АҚМОЛА, СТЕПНОГОР, 10, 86</v>
      </c>
      <c r="T411" t="str">
        <f>"10, 86"</f>
        <v>10, 86</v>
      </c>
      <c r="U411" t="str">
        <f>"10, 86"</f>
        <v>10, 86</v>
      </c>
      <c r="AC411" t="str">
        <f>"2023-08-25T00:00:00"</f>
        <v>2023-08-25T00:00:00</v>
      </c>
      <c r="AD411" t="str">
        <f>"202"</f>
        <v>202</v>
      </c>
      <c r="AE411" t="str">
        <f>"2023-09-01T10:07:26"</f>
        <v>2023-09-01T10:07:26</v>
      </c>
      <c r="AF411" t="str">
        <f>"2024-05-25T10:07:26"</f>
        <v>2024-05-25T10:07:26</v>
      </c>
      <c r="AG411" t="s">
        <v>202</v>
      </c>
      <c r="AI411" t="s">
        <v>299</v>
      </c>
      <c r="AJ411" t="s">
        <v>1298</v>
      </c>
      <c r="AK411" t="s">
        <v>205</v>
      </c>
      <c r="AL411" t="s">
        <v>206</v>
      </c>
      <c r="AN411" t="s">
        <v>207</v>
      </c>
      <c r="AO411">
        <v>2</v>
      </c>
      <c r="AP411" t="s">
        <v>208</v>
      </c>
      <c r="AQ411" t="s">
        <v>209</v>
      </c>
      <c r="AR411" t="s">
        <v>502</v>
      </c>
      <c r="AW411" t="s">
        <v>212</v>
      </c>
      <c r="AZ411" t="s">
        <v>209</v>
      </c>
      <c r="BI411" t="s">
        <v>212</v>
      </c>
      <c r="BJ411" t="s">
        <v>213</v>
      </c>
      <c r="BK411" t="s">
        <v>214</v>
      </c>
      <c r="BL411" t="s">
        <v>215</v>
      </c>
      <c r="BN411" t="s">
        <v>661</v>
      </c>
      <c r="BO411" t="s">
        <v>209</v>
      </c>
      <c r="BS411" t="s">
        <v>220</v>
      </c>
      <c r="BX411" t="s">
        <v>234</v>
      </c>
      <c r="BY411" t="s">
        <v>234</v>
      </c>
      <c r="CA411" t="s">
        <v>287</v>
      </c>
      <c r="CC411" t="s">
        <v>209</v>
      </c>
      <c r="CE411" t="s">
        <v>242</v>
      </c>
      <c r="CJ411" t="s">
        <v>206</v>
      </c>
      <c r="CK411" t="s">
        <v>230</v>
      </c>
      <c r="CL411" t="s">
        <v>231</v>
      </c>
      <c r="CM411" t="s">
        <v>232</v>
      </c>
      <c r="CN411" t="s">
        <v>233</v>
      </c>
      <c r="CP411" t="s">
        <v>212</v>
      </c>
      <c r="CQ411" t="s">
        <v>212</v>
      </c>
      <c r="CR411" t="s">
        <v>212</v>
      </c>
      <c r="CS411" t="s">
        <v>212</v>
      </c>
      <c r="CY411" t="s">
        <v>212</v>
      </c>
      <c r="DB411" t="s">
        <v>234</v>
      </c>
      <c r="DE411" t="s">
        <v>212</v>
      </c>
      <c r="DF411" t="s">
        <v>212</v>
      </c>
      <c r="DG411" t="s">
        <v>235</v>
      </c>
      <c r="DH411" t="s">
        <v>212</v>
      </c>
      <c r="DJ411" t="s">
        <v>236</v>
      </c>
      <c r="DM411" t="s">
        <v>212</v>
      </c>
    </row>
    <row r="412" spans="1:117" x14ac:dyDescent="0.3">
      <c r="A412">
        <v>358695</v>
      </c>
      <c r="B412">
        <v>323713</v>
      </c>
      <c r="C412" t="str">
        <f>"121220000183"</f>
        <v>121220000183</v>
      </c>
      <c r="D412" t="s">
        <v>1320</v>
      </c>
      <c r="E412" t="s">
        <v>1321</v>
      </c>
      <c r="F412" t="s">
        <v>1322</v>
      </c>
      <c r="G412" s="1">
        <v>41263</v>
      </c>
      <c r="I412" t="s">
        <v>240</v>
      </c>
      <c r="J412" t="s">
        <v>757</v>
      </c>
      <c r="K412" t="s">
        <v>201</v>
      </c>
      <c r="L412" t="s">
        <v>212</v>
      </c>
      <c r="Q412" t="s">
        <v>212</v>
      </c>
      <c r="R412" t="str">
        <f>"КАЗАХСТАН, АКМОЛИНСКАЯ, СТЕПНОГОРСК, 20, 44"</f>
        <v>КАЗАХСТАН, АКМОЛИНСКАЯ, СТЕПНОГОРСК, 20, 44</v>
      </c>
      <c r="S412" t="str">
        <f>"ҚАЗАҚСТАН, АҚМОЛА, СТЕПНОГОР, 20, 44"</f>
        <v>ҚАЗАҚСТАН, АҚМОЛА, СТЕПНОГОР, 20, 44</v>
      </c>
      <c r="T412" t="str">
        <f>"20, 44"</f>
        <v>20, 44</v>
      </c>
      <c r="U412" t="str">
        <f>"20, 44"</f>
        <v>20, 44</v>
      </c>
      <c r="AC412" t="str">
        <f>"2019-08-29T00:00:00"</f>
        <v>2019-08-29T00:00:00</v>
      </c>
      <c r="AD412" t="str">
        <f>"1"</f>
        <v>1</v>
      </c>
      <c r="AG412" t="s">
        <v>202</v>
      </c>
      <c r="AI412" t="s">
        <v>203</v>
      </c>
      <c r="AJ412" t="s">
        <v>419</v>
      </c>
      <c r="AK412" t="s">
        <v>434</v>
      </c>
      <c r="AL412" t="s">
        <v>206</v>
      </c>
      <c r="AN412" t="s">
        <v>254</v>
      </c>
      <c r="AO412">
        <v>1</v>
      </c>
      <c r="AP412" t="s">
        <v>208</v>
      </c>
      <c r="AQ412" t="s">
        <v>209</v>
      </c>
      <c r="AR412" t="s">
        <v>307</v>
      </c>
      <c r="AW412" t="s">
        <v>206</v>
      </c>
      <c r="AX412" t="s">
        <v>211</v>
      </c>
      <c r="AZ412" t="s">
        <v>209</v>
      </c>
      <c r="BI412" t="s">
        <v>212</v>
      </c>
      <c r="BJ412" t="s">
        <v>213</v>
      </c>
      <c r="BK412" t="s">
        <v>214</v>
      </c>
      <c r="BL412" t="s">
        <v>215</v>
      </c>
      <c r="BN412" t="s">
        <v>216</v>
      </c>
      <c r="BO412" t="s">
        <v>209</v>
      </c>
      <c r="BP412" t="s">
        <v>241</v>
      </c>
      <c r="BQ412">
        <v>4</v>
      </c>
      <c r="BS412" t="s">
        <v>219</v>
      </c>
      <c r="BT412" t="s">
        <v>220</v>
      </c>
      <c r="BU412" t="s">
        <v>206</v>
      </c>
      <c r="BX412" t="s">
        <v>221</v>
      </c>
      <c r="BY412" t="s">
        <v>221</v>
      </c>
      <c r="CA412" t="s">
        <v>287</v>
      </c>
      <c r="CC412" t="s">
        <v>222</v>
      </c>
      <c r="CD412" t="s">
        <v>223</v>
      </c>
      <c r="CE412" t="s">
        <v>242</v>
      </c>
      <c r="CJ412" t="s">
        <v>206</v>
      </c>
      <c r="CK412" t="s">
        <v>230</v>
      </c>
      <c r="CL412" t="s">
        <v>231</v>
      </c>
      <c r="CM412" t="s">
        <v>232</v>
      </c>
      <c r="CN412" t="s">
        <v>233</v>
      </c>
      <c r="CP412" t="s">
        <v>212</v>
      </c>
      <c r="CQ412" t="s">
        <v>212</v>
      </c>
      <c r="CR412" t="s">
        <v>212</v>
      </c>
      <c r="CS412" t="s">
        <v>212</v>
      </c>
      <c r="CY412" t="s">
        <v>212</v>
      </c>
      <c r="DB412" t="s">
        <v>234</v>
      </c>
      <c r="DE412" t="s">
        <v>212</v>
      </c>
      <c r="DF412" t="s">
        <v>212</v>
      </c>
      <c r="DG412" t="s">
        <v>235</v>
      </c>
      <c r="DH412" t="s">
        <v>212</v>
      </c>
      <c r="DJ412" t="s">
        <v>236</v>
      </c>
      <c r="DM412" t="s">
        <v>212</v>
      </c>
    </row>
    <row r="413" spans="1:117" x14ac:dyDescent="0.3">
      <c r="A413">
        <v>358636</v>
      </c>
      <c r="B413">
        <v>323659</v>
      </c>
      <c r="C413" t="str">
        <f>"110629506163"</f>
        <v>110629506163</v>
      </c>
      <c r="D413" t="s">
        <v>1323</v>
      </c>
      <c r="E413" t="s">
        <v>402</v>
      </c>
      <c r="F413" t="s">
        <v>321</v>
      </c>
      <c r="G413" s="1">
        <v>40723</v>
      </c>
      <c r="I413" t="s">
        <v>240</v>
      </c>
      <c r="J413" t="s">
        <v>200</v>
      </c>
      <c r="K413" t="s">
        <v>260</v>
      </c>
      <c r="Q413" t="s">
        <v>212</v>
      </c>
      <c r="R413" t="str">
        <f>"КАЗАХСТАН, АКМОЛИНСКАЯ, СТЕПНОГОРСК, СТЕПНОГОРСК, 19, 81"</f>
        <v>КАЗАХСТАН, АКМОЛИНСКАЯ, СТЕПНОГОРСК, СТЕПНОГОРСК, 19, 81</v>
      </c>
      <c r="S413" t="str">
        <f>"ҚАЗАҚСТАН, АҚМОЛА, СТЕПНОГОР, СТЕПНОГОРСК, 19, 81"</f>
        <v>ҚАЗАҚСТАН, АҚМОЛА, СТЕПНОГОР, СТЕПНОГОРСК, 19, 81</v>
      </c>
      <c r="T413" t="str">
        <f>"СТЕПНОГОРСК, 19, 81"</f>
        <v>СТЕПНОГОРСК, 19, 81</v>
      </c>
      <c r="U413" t="str">
        <f>"СТЕПНОГОРСК, 19, 81"</f>
        <v>СТЕПНОГОРСК, 19, 81</v>
      </c>
      <c r="AC413" t="str">
        <f>"2018-08-29T00:00:00"</f>
        <v>2018-08-29T00:00:00</v>
      </c>
      <c r="AD413" t="str">
        <f>"140"</f>
        <v>140</v>
      </c>
      <c r="AG413" t="s">
        <v>202</v>
      </c>
      <c r="AI413" t="s">
        <v>274</v>
      </c>
      <c r="AJ413" t="s">
        <v>419</v>
      </c>
      <c r="AK413" t="s">
        <v>246</v>
      </c>
      <c r="AL413" t="s">
        <v>206</v>
      </c>
      <c r="AN413" t="s">
        <v>207</v>
      </c>
      <c r="AO413">
        <v>1</v>
      </c>
      <c r="AP413" t="s">
        <v>208</v>
      </c>
      <c r="AQ413" t="s">
        <v>209</v>
      </c>
      <c r="AR413" t="s">
        <v>210</v>
      </c>
      <c r="AV413" t="str">
        <f>"2021-01-19T11:21:35"</f>
        <v>2021-01-19T11:21:35</v>
      </c>
      <c r="AW413" t="s">
        <v>206</v>
      </c>
      <c r="AX413" t="s">
        <v>211</v>
      </c>
      <c r="AZ413" t="s">
        <v>209</v>
      </c>
      <c r="BI413" t="s">
        <v>212</v>
      </c>
      <c r="BJ413" t="s">
        <v>213</v>
      </c>
      <c r="BK413" t="s">
        <v>214</v>
      </c>
      <c r="BL413" t="s">
        <v>215</v>
      </c>
      <c r="BN413" t="s">
        <v>216</v>
      </c>
      <c r="BO413" t="s">
        <v>209</v>
      </c>
      <c r="BP413" t="s">
        <v>415</v>
      </c>
      <c r="BQ413" t="s">
        <v>673</v>
      </c>
      <c r="BS413" t="s">
        <v>219</v>
      </c>
      <c r="BT413" t="s">
        <v>220</v>
      </c>
      <c r="BU413" t="s">
        <v>206</v>
      </c>
      <c r="BX413" t="s">
        <v>221</v>
      </c>
      <c r="BY413" t="s">
        <v>221</v>
      </c>
      <c r="CA413" t="s">
        <v>287</v>
      </c>
      <c r="CC413" t="s">
        <v>222</v>
      </c>
      <c r="CD413" t="s">
        <v>223</v>
      </c>
      <c r="CE413" t="s">
        <v>242</v>
      </c>
      <c r="CJ413" t="s">
        <v>206</v>
      </c>
      <c r="CK413" t="s">
        <v>230</v>
      </c>
      <c r="CL413" t="s">
        <v>231</v>
      </c>
      <c r="CM413" t="s">
        <v>232</v>
      </c>
      <c r="CN413" t="s">
        <v>233</v>
      </c>
      <c r="CP413" t="s">
        <v>212</v>
      </c>
      <c r="CQ413" t="s">
        <v>212</v>
      </c>
      <c r="CR413" t="s">
        <v>212</v>
      </c>
      <c r="CS413" t="s">
        <v>212</v>
      </c>
      <c r="CY413" t="s">
        <v>212</v>
      </c>
      <c r="DB413" t="s">
        <v>234</v>
      </c>
      <c r="DE413" t="s">
        <v>212</v>
      </c>
      <c r="DF413" t="s">
        <v>212</v>
      </c>
      <c r="DG413" t="s">
        <v>235</v>
      </c>
      <c r="DH413" t="s">
        <v>212</v>
      </c>
      <c r="DJ413" t="s">
        <v>236</v>
      </c>
      <c r="DM413" t="s">
        <v>212</v>
      </c>
    </row>
    <row r="414" spans="1:117" x14ac:dyDescent="0.3">
      <c r="A414">
        <v>358323</v>
      </c>
      <c r="B414">
        <v>323404</v>
      </c>
      <c r="C414" t="str">
        <f>"100322554073"</f>
        <v>100322554073</v>
      </c>
      <c r="D414" t="s">
        <v>1324</v>
      </c>
      <c r="E414" t="s">
        <v>1325</v>
      </c>
      <c r="F414" t="s">
        <v>1326</v>
      </c>
      <c r="G414" s="1">
        <v>40259</v>
      </c>
      <c r="I414" t="s">
        <v>240</v>
      </c>
      <c r="J414" t="s">
        <v>200</v>
      </c>
      <c r="K414" t="s">
        <v>201</v>
      </c>
      <c r="R414" t="str">
        <f>"АНДОРРА, КАРАГАНДИНСКАЯ, ТЕМИРТАУ, ТЕМИРТАУ, 97, 48"</f>
        <v>АНДОРРА, КАРАГАНДИНСКАЯ, ТЕМИРТАУ, ТЕМИРТАУ, 97, 48</v>
      </c>
      <c r="S414" t="str">
        <f>"АНДОРРА, ҚАРАҒАНДЫ, ТЕМІРТАУ, ТЕМИРТАУ, 97, 48"</f>
        <v>АНДОРРА, ҚАРАҒАНДЫ, ТЕМІРТАУ, ТЕМИРТАУ, 97, 48</v>
      </c>
      <c r="T414" t="str">
        <f>"ТЕМИРТАУ, 97, 48"</f>
        <v>ТЕМИРТАУ, 97, 48</v>
      </c>
      <c r="U414" t="str">
        <f>"ТЕМИРТАУ, 97, 48"</f>
        <v>ТЕМИРТАУ, 97, 48</v>
      </c>
      <c r="AC414" t="str">
        <f>"2017-08-29T00:00:00"</f>
        <v>2017-08-29T00:00:00</v>
      </c>
      <c r="AD414" t="str">
        <f>"112"</f>
        <v>112</v>
      </c>
      <c r="AE414" t="str">
        <f>"2023-09-01T00:24:57"</f>
        <v>2023-09-01T00:24:57</v>
      </c>
      <c r="AF414" t="str">
        <f>"2024-05-25T00:24:57"</f>
        <v>2024-05-25T00:24:57</v>
      </c>
      <c r="AG414" t="s">
        <v>202</v>
      </c>
      <c r="AI414" t="s">
        <v>274</v>
      </c>
      <c r="AJ414" t="s">
        <v>300</v>
      </c>
      <c r="AK414" t="s">
        <v>253</v>
      </c>
      <c r="AL414" t="s">
        <v>206</v>
      </c>
      <c r="AN414" t="s">
        <v>254</v>
      </c>
      <c r="AO414">
        <v>1</v>
      </c>
      <c r="AP414" t="s">
        <v>208</v>
      </c>
      <c r="AQ414" t="s">
        <v>209</v>
      </c>
      <c r="AR414" t="s">
        <v>210</v>
      </c>
      <c r="AW414" t="s">
        <v>206</v>
      </c>
      <c r="AX414" t="s">
        <v>211</v>
      </c>
      <c r="AZ414" t="s">
        <v>209</v>
      </c>
      <c r="BI414" t="s">
        <v>212</v>
      </c>
      <c r="BJ414" t="s">
        <v>213</v>
      </c>
      <c r="BK414" t="s">
        <v>214</v>
      </c>
      <c r="BL414" t="s">
        <v>215</v>
      </c>
      <c r="BN414" t="s">
        <v>216</v>
      </c>
      <c r="BO414" t="s">
        <v>209</v>
      </c>
      <c r="BP414" t="s">
        <v>241</v>
      </c>
      <c r="BQ414">
        <v>4</v>
      </c>
      <c r="BS414" t="s">
        <v>219</v>
      </c>
      <c r="BT414" t="s">
        <v>220</v>
      </c>
      <c r="BU414" t="s">
        <v>206</v>
      </c>
      <c r="BX414" t="s">
        <v>221</v>
      </c>
      <c r="BY414" t="s">
        <v>221</v>
      </c>
      <c r="CA414" t="s">
        <v>249</v>
      </c>
      <c r="CB414" t="s">
        <v>223</v>
      </c>
      <c r="CC414" t="s">
        <v>222</v>
      </c>
      <c r="CD414" t="s">
        <v>223</v>
      </c>
      <c r="CE414" t="s">
        <v>242</v>
      </c>
      <c r="CJ414" t="s">
        <v>206</v>
      </c>
      <c r="CK414" t="s">
        <v>230</v>
      </c>
      <c r="CL414" t="s">
        <v>231</v>
      </c>
      <c r="CM414" t="s">
        <v>232</v>
      </c>
      <c r="CN414" t="s">
        <v>233</v>
      </c>
      <c r="CP414" t="s">
        <v>212</v>
      </c>
      <c r="CQ414" t="s">
        <v>212</v>
      </c>
      <c r="CR414" t="s">
        <v>212</v>
      </c>
      <c r="CS414" t="s">
        <v>212</v>
      </c>
      <c r="CY414" t="s">
        <v>212</v>
      </c>
      <c r="DB414" t="s">
        <v>234</v>
      </c>
      <c r="DE414" t="s">
        <v>212</v>
      </c>
      <c r="DF414" t="s">
        <v>212</v>
      </c>
      <c r="DG414" t="s">
        <v>235</v>
      </c>
      <c r="DH414" t="s">
        <v>212</v>
      </c>
      <c r="DJ414" t="s">
        <v>236</v>
      </c>
      <c r="DM414" t="s">
        <v>212</v>
      </c>
    </row>
    <row r="415" spans="1:117" x14ac:dyDescent="0.3">
      <c r="A415">
        <v>25899429</v>
      </c>
      <c r="B415">
        <v>9705257</v>
      </c>
      <c r="C415" t="str">
        <f>"170714501274"</f>
        <v>170714501274</v>
      </c>
      <c r="D415" t="s">
        <v>470</v>
      </c>
      <c r="E415" t="s">
        <v>981</v>
      </c>
      <c r="F415" t="s">
        <v>472</v>
      </c>
      <c r="G415" s="1">
        <v>42930</v>
      </c>
      <c r="I415" t="s">
        <v>240</v>
      </c>
      <c r="J415" t="s">
        <v>200</v>
      </c>
      <c r="K415" t="s">
        <v>201</v>
      </c>
      <c r="Q415" t="s">
        <v>212</v>
      </c>
      <c r="R415" t="str">
        <f>"КАЗАХСТАН, АКМОЛИНСКАЯ, СТЕПНОГОРСК, 23, 66"</f>
        <v>КАЗАХСТАН, АКМОЛИНСКАЯ, СТЕПНОГОРСК, 23, 66</v>
      </c>
      <c r="S415" t="str">
        <f>"ҚАЗАҚСТАН, АҚМОЛА, СТЕПНОГОР, 23, 66"</f>
        <v>ҚАЗАҚСТАН, АҚМОЛА, СТЕПНОГОР, 23, 66</v>
      </c>
      <c r="T415" t="str">
        <f>"23, 66"</f>
        <v>23, 66</v>
      </c>
      <c r="U415" t="str">
        <f>"23, 66"</f>
        <v>23, 66</v>
      </c>
      <c r="AC415" t="str">
        <f>"2023-08-25T00:00:00"</f>
        <v>2023-08-25T00:00:00</v>
      </c>
      <c r="AD415" t="str">
        <f>"202"</f>
        <v>202</v>
      </c>
      <c r="AG415" t="s">
        <v>202</v>
      </c>
      <c r="AI415" t="s">
        <v>299</v>
      </c>
      <c r="AJ415" t="s">
        <v>1298</v>
      </c>
      <c r="AK415" t="s">
        <v>205</v>
      </c>
      <c r="AL415" t="s">
        <v>206</v>
      </c>
      <c r="AN415" t="s">
        <v>207</v>
      </c>
      <c r="AO415">
        <v>2</v>
      </c>
      <c r="AP415" t="s">
        <v>208</v>
      </c>
      <c r="AQ415" t="s">
        <v>209</v>
      </c>
      <c r="AR415" t="s">
        <v>502</v>
      </c>
      <c r="AW415" t="s">
        <v>212</v>
      </c>
      <c r="AZ415" t="s">
        <v>209</v>
      </c>
      <c r="BI415" t="s">
        <v>212</v>
      </c>
      <c r="BJ415" t="s">
        <v>213</v>
      </c>
      <c r="BK415" t="s">
        <v>214</v>
      </c>
      <c r="BL415" t="s">
        <v>215</v>
      </c>
      <c r="BN415" t="s">
        <v>661</v>
      </c>
      <c r="BO415" t="s">
        <v>209</v>
      </c>
      <c r="BS415" t="s">
        <v>220</v>
      </c>
      <c r="CA415" t="s">
        <v>287</v>
      </c>
      <c r="CC415" t="s">
        <v>209</v>
      </c>
      <c r="CE415" t="s">
        <v>242</v>
      </c>
      <c r="CJ415" t="s">
        <v>206</v>
      </c>
      <c r="CK415" t="s">
        <v>230</v>
      </c>
      <c r="CL415" t="s">
        <v>231</v>
      </c>
      <c r="CM415" t="s">
        <v>232</v>
      </c>
      <c r="CN415" t="s">
        <v>233</v>
      </c>
      <c r="CP415" t="s">
        <v>212</v>
      </c>
      <c r="CQ415" t="s">
        <v>212</v>
      </c>
      <c r="CR415" t="s">
        <v>212</v>
      </c>
      <c r="CS415" t="s">
        <v>212</v>
      </c>
      <c r="CY415" t="s">
        <v>212</v>
      </c>
      <c r="DB415" t="s">
        <v>234</v>
      </c>
      <c r="DE415" t="s">
        <v>212</v>
      </c>
      <c r="DF415" t="s">
        <v>212</v>
      </c>
      <c r="DG415" t="s">
        <v>235</v>
      </c>
      <c r="DH415" t="s">
        <v>212</v>
      </c>
      <c r="DJ415" t="s">
        <v>236</v>
      </c>
      <c r="DM415" t="s">
        <v>212</v>
      </c>
    </row>
    <row r="416" spans="1:117" x14ac:dyDescent="0.3">
      <c r="A416">
        <v>25899540</v>
      </c>
      <c r="B416">
        <v>9705252</v>
      </c>
      <c r="C416" t="str">
        <f>"171101503588"</f>
        <v>171101503588</v>
      </c>
      <c r="D416" t="s">
        <v>1327</v>
      </c>
      <c r="E416" t="s">
        <v>1328</v>
      </c>
      <c r="F416" t="s">
        <v>1329</v>
      </c>
      <c r="G416" s="1">
        <v>43040</v>
      </c>
      <c r="I416" t="s">
        <v>240</v>
      </c>
      <c r="J416" t="s">
        <v>200</v>
      </c>
      <c r="K416" t="s">
        <v>260</v>
      </c>
      <c r="Q416" t="s">
        <v>212</v>
      </c>
      <c r="R416" t="str">
        <f>"КАЗАХСТАН, АКМОЛИНСКАЯ, СТЕПНОГОРСК, СТЕПНОГОРСК, 12, 108"</f>
        <v>КАЗАХСТАН, АКМОЛИНСКАЯ, СТЕПНОГОРСК, СТЕПНОГОРСК, 12, 108</v>
      </c>
      <c r="S416" t="str">
        <f>"ҚАЗАҚСТАН, АҚМОЛА, СТЕПНОГОР, СТЕПНОГОРСК, 12, 108"</f>
        <v>ҚАЗАҚСТАН, АҚМОЛА, СТЕПНОГОР, СТЕПНОГОРСК, 12, 108</v>
      </c>
      <c r="T416" t="str">
        <f>"СТЕПНОГОРСК, 12, 108"</f>
        <v>СТЕПНОГОРСК, 12, 108</v>
      </c>
      <c r="U416" t="str">
        <f>"СТЕПНОГОРСК, 12, 108"</f>
        <v>СТЕПНОГОРСК, 12, 108</v>
      </c>
      <c r="AC416" t="str">
        <f>"2023-08-25T00:00:00"</f>
        <v>2023-08-25T00:00:00</v>
      </c>
      <c r="AD416" t="str">
        <f>"202"</f>
        <v>202</v>
      </c>
      <c r="AG416" t="s">
        <v>202</v>
      </c>
      <c r="AI416" t="s">
        <v>299</v>
      </c>
      <c r="AJ416" t="s">
        <v>1298</v>
      </c>
      <c r="AK416" t="s">
        <v>205</v>
      </c>
      <c r="AL416" t="s">
        <v>206</v>
      </c>
      <c r="AN416" t="s">
        <v>207</v>
      </c>
      <c r="AO416">
        <v>2</v>
      </c>
      <c r="AP416" t="s">
        <v>208</v>
      </c>
      <c r="AQ416" t="s">
        <v>209</v>
      </c>
      <c r="AR416" t="s">
        <v>502</v>
      </c>
      <c r="AW416" t="s">
        <v>212</v>
      </c>
      <c r="AZ416" t="s">
        <v>209</v>
      </c>
      <c r="BI416" t="s">
        <v>212</v>
      </c>
      <c r="BJ416" t="s">
        <v>213</v>
      </c>
      <c r="BK416" t="s">
        <v>214</v>
      </c>
      <c r="BL416" t="s">
        <v>215</v>
      </c>
      <c r="BN416" t="s">
        <v>661</v>
      </c>
      <c r="BO416" t="s">
        <v>209</v>
      </c>
      <c r="BS416" t="s">
        <v>220</v>
      </c>
      <c r="CA416" t="s">
        <v>287</v>
      </c>
      <c r="CC416" t="s">
        <v>209</v>
      </c>
      <c r="CE416" t="s">
        <v>242</v>
      </c>
      <c r="CJ416" t="s">
        <v>206</v>
      </c>
      <c r="CK416" t="s">
        <v>230</v>
      </c>
      <c r="CL416" t="s">
        <v>231</v>
      </c>
      <c r="CM416" t="s">
        <v>232</v>
      </c>
      <c r="CN416" t="s">
        <v>233</v>
      </c>
      <c r="CP416" t="s">
        <v>212</v>
      </c>
      <c r="CQ416" t="s">
        <v>212</v>
      </c>
      <c r="CR416" t="s">
        <v>212</v>
      </c>
      <c r="CS416" t="s">
        <v>212</v>
      </c>
      <c r="CY416" t="s">
        <v>212</v>
      </c>
      <c r="DB416" t="s">
        <v>234</v>
      </c>
      <c r="DE416" t="s">
        <v>212</v>
      </c>
      <c r="DF416" t="s">
        <v>212</v>
      </c>
      <c r="DG416" t="s">
        <v>235</v>
      </c>
      <c r="DH416" t="s">
        <v>212</v>
      </c>
      <c r="DJ416" t="s">
        <v>236</v>
      </c>
      <c r="DM416" t="s">
        <v>212</v>
      </c>
    </row>
    <row r="417" spans="1:117" x14ac:dyDescent="0.3">
      <c r="A417">
        <v>358180</v>
      </c>
      <c r="B417">
        <v>323286</v>
      </c>
      <c r="C417" t="str">
        <f>"130111604130"</f>
        <v>130111604130</v>
      </c>
      <c r="D417" t="s">
        <v>1330</v>
      </c>
      <c r="E417" t="s">
        <v>1331</v>
      </c>
      <c r="F417" t="s">
        <v>1332</v>
      </c>
      <c r="G417" s="1">
        <v>41285</v>
      </c>
      <c r="I417" t="s">
        <v>199</v>
      </c>
      <c r="J417" t="s">
        <v>200</v>
      </c>
      <c r="K417" t="s">
        <v>201</v>
      </c>
      <c r="Q417" t="s">
        <v>212</v>
      </c>
      <c r="R417" t="str">
        <f>"КАЗАХСТАН, АБАЙ, Калбатауский, Калбатау, 23"</f>
        <v>КАЗАХСТАН, АБАЙ, Калбатауский, Калбатау, 23</v>
      </c>
      <c r="S417" t="str">
        <f>"ҚАЗАҚСТАН, АБАЙ, Калбатауский, Калбатау, 23"</f>
        <v>ҚАЗАҚСТАН, АБАЙ, Калбатауский, Калбатау, 23</v>
      </c>
      <c r="T417" t="str">
        <f>"Калбатауский, Калбатау, 23"</f>
        <v>Калбатауский, Калбатау, 23</v>
      </c>
      <c r="U417" t="str">
        <f>"Калбатауский, Калбатау, 23"</f>
        <v>Калбатауский, Калбатау, 23</v>
      </c>
      <c r="AC417" t="str">
        <f>"2019-06-21T00:00:00"</f>
        <v>2019-06-21T00:00:00</v>
      </c>
      <c r="AD417" t="str">
        <f>"96"</f>
        <v>96</v>
      </c>
      <c r="AG417" t="s">
        <v>202</v>
      </c>
      <c r="AI417" t="s">
        <v>203</v>
      </c>
      <c r="AJ417" t="s">
        <v>419</v>
      </c>
      <c r="AK417" t="s">
        <v>205</v>
      </c>
      <c r="AL417" t="s">
        <v>206</v>
      </c>
      <c r="AN417" t="s">
        <v>207</v>
      </c>
      <c r="AO417">
        <v>1</v>
      </c>
      <c r="AP417" t="s">
        <v>208</v>
      </c>
      <c r="AQ417" t="s">
        <v>209</v>
      </c>
      <c r="AR417" t="s">
        <v>210</v>
      </c>
      <c r="AW417" t="s">
        <v>206</v>
      </c>
      <c r="AX417" t="s">
        <v>211</v>
      </c>
      <c r="AZ417" t="s">
        <v>209</v>
      </c>
      <c r="BI417" t="s">
        <v>212</v>
      </c>
      <c r="BJ417" t="s">
        <v>213</v>
      </c>
      <c r="BK417" t="s">
        <v>214</v>
      </c>
      <c r="BL417" t="s">
        <v>215</v>
      </c>
      <c r="BN417" t="s">
        <v>216</v>
      </c>
      <c r="BO417" t="s">
        <v>209</v>
      </c>
      <c r="BP417" t="s">
        <v>415</v>
      </c>
      <c r="BQ417" t="s">
        <v>913</v>
      </c>
      <c r="BS417" t="s">
        <v>219</v>
      </c>
      <c r="BT417" t="s">
        <v>220</v>
      </c>
      <c r="BU417" t="s">
        <v>206</v>
      </c>
      <c r="BX417" t="s">
        <v>221</v>
      </c>
      <c r="BY417" t="s">
        <v>221</v>
      </c>
      <c r="CA417" t="s">
        <v>287</v>
      </c>
      <c r="CC417" t="s">
        <v>222</v>
      </c>
      <c r="CD417" t="s">
        <v>223</v>
      </c>
      <c r="CE417" t="s">
        <v>242</v>
      </c>
      <c r="CJ417" t="s">
        <v>206</v>
      </c>
      <c r="CK417" t="s">
        <v>230</v>
      </c>
      <c r="CL417" t="s">
        <v>231</v>
      </c>
      <c r="CM417" t="s">
        <v>232</v>
      </c>
      <c r="CN417" t="s">
        <v>233</v>
      </c>
      <c r="CP417" t="s">
        <v>212</v>
      </c>
      <c r="CQ417" t="s">
        <v>212</v>
      </c>
      <c r="CR417" t="s">
        <v>212</v>
      </c>
      <c r="CS417" t="s">
        <v>212</v>
      </c>
      <c r="CY417" t="s">
        <v>212</v>
      </c>
      <c r="DB417" t="s">
        <v>234</v>
      </c>
      <c r="DE417" t="s">
        <v>212</v>
      </c>
      <c r="DF417" t="s">
        <v>212</v>
      </c>
      <c r="DG417" t="s">
        <v>235</v>
      </c>
      <c r="DH417" t="s">
        <v>212</v>
      </c>
      <c r="DJ417" t="s">
        <v>236</v>
      </c>
      <c r="DM417" t="s">
        <v>212</v>
      </c>
    </row>
    <row r="418" spans="1:117" x14ac:dyDescent="0.3">
      <c r="A418">
        <v>358075</v>
      </c>
      <c r="B418">
        <v>323201</v>
      </c>
      <c r="C418" t="str">
        <f>"080729554981"</f>
        <v>080729554981</v>
      </c>
      <c r="D418" t="s">
        <v>1333</v>
      </c>
      <c r="E418" t="s">
        <v>1334</v>
      </c>
      <c r="F418" t="s">
        <v>1335</v>
      </c>
      <c r="G418" s="1">
        <v>39658</v>
      </c>
      <c r="I418" t="s">
        <v>240</v>
      </c>
      <c r="J418" t="s">
        <v>200</v>
      </c>
      <c r="K418" t="s">
        <v>1336</v>
      </c>
      <c r="R418" t="str">
        <f>"-"</f>
        <v>-</v>
      </c>
      <c r="S418" t="str">
        <f>"-"</f>
        <v>-</v>
      </c>
      <c r="T418" t="str">
        <f>"-"</f>
        <v>-</v>
      </c>
      <c r="U418" t="str">
        <f>"-"</f>
        <v>-</v>
      </c>
      <c r="AC418" t="str">
        <f>"2017-08-29T00:00:00"</f>
        <v>2017-08-29T00:00:00</v>
      </c>
      <c r="AD418" t="str">
        <f>"112"</f>
        <v>112</v>
      </c>
      <c r="AE418" t="str">
        <f>"2023-09-01T01:13:11"</f>
        <v>2023-09-01T01:13:11</v>
      </c>
      <c r="AF418" t="str">
        <f>"2024-05-25T01:13:11"</f>
        <v>2024-05-25T01:13:11</v>
      </c>
      <c r="AG418" t="s">
        <v>202</v>
      </c>
      <c r="AH418" t="str">
        <f>"ckool007@mail.ru"</f>
        <v>ckool007@mail.ru</v>
      </c>
      <c r="AI418" t="s">
        <v>299</v>
      </c>
      <c r="AJ418" t="s">
        <v>204</v>
      </c>
      <c r="AK418" t="s">
        <v>246</v>
      </c>
      <c r="AL418" t="s">
        <v>206</v>
      </c>
      <c r="AN418" t="s">
        <v>207</v>
      </c>
      <c r="AO418">
        <v>1</v>
      </c>
      <c r="AP418" t="s">
        <v>208</v>
      </c>
      <c r="AQ418" t="s">
        <v>209</v>
      </c>
      <c r="AR418" t="s">
        <v>210</v>
      </c>
      <c r="AW418" t="s">
        <v>206</v>
      </c>
      <c r="AX418" t="s">
        <v>211</v>
      </c>
      <c r="AZ418" t="s">
        <v>209</v>
      </c>
      <c r="BI418" t="s">
        <v>212</v>
      </c>
      <c r="BJ418" t="s">
        <v>213</v>
      </c>
      <c r="BK418" t="s">
        <v>214</v>
      </c>
      <c r="BL418" t="s">
        <v>215</v>
      </c>
      <c r="BN418" t="s">
        <v>247</v>
      </c>
      <c r="BO418" t="s">
        <v>209</v>
      </c>
      <c r="BP418" t="s">
        <v>241</v>
      </c>
      <c r="BQ418">
        <v>3</v>
      </c>
      <c r="BS418" t="s">
        <v>219</v>
      </c>
      <c r="BT418" t="s">
        <v>220</v>
      </c>
      <c r="BU418" t="s">
        <v>206</v>
      </c>
      <c r="BX418" t="s">
        <v>234</v>
      </c>
      <c r="BY418" t="s">
        <v>234</v>
      </c>
      <c r="CA418" t="s">
        <v>317</v>
      </c>
      <c r="CB418" t="s">
        <v>223</v>
      </c>
      <c r="CC418" t="s">
        <v>222</v>
      </c>
      <c r="CD418" t="s">
        <v>223</v>
      </c>
      <c r="CE418" t="s">
        <v>225</v>
      </c>
      <c r="CF418" t="s">
        <v>226</v>
      </c>
      <c r="CG418" t="s">
        <v>227</v>
      </c>
      <c r="CH418" t="s">
        <v>209</v>
      </c>
      <c r="CI418" t="s">
        <v>1337</v>
      </c>
      <c r="CJ418" t="s">
        <v>206</v>
      </c>
      <c r="CK418" t="s">
        <v>230</v>
      </c>
      <c r="CL418" t="s">
        <v>231</v>
      </c>
      <c r="CM418" t="s">
        <v>232</v>
      </c>
      <c r="CN418" t="s">
        <v>233</v>
      </c>
      <c r="CP418" t="s">
        <v>212</v>
      </c>
      <c r="CQ418" t="s">
        <v>212</v>
      </c>
      <c r="CR418" t="s">
        <v>212</v>
      </c>
      <c r="CS418" t="s">
        <v>212</v>
      </c>
      <c r="CY418" t="s">
        <v>212</v>
      </c>
      <c r="DB418" t="s">
        <v>234</v>
      </c>
      <c r="DE418" t="s">
        <v>212</v>
      </c>
      <c r="DF418" t="s">
        <v>212</v>
      </c>
      <c r="DG418" t="s">
        <v>235</v>
      </c>
      <c r="DH418" t="s">
        <v>212</v>
      </c>
      <c r="DJ418" t="s">
        <v>236</v>
      </c>
      <c r="DM418" t="s">
        <v>212</v>
      </c>
    </row>
    <row r="419" spans="1:117" x14ac:dyDescent="0.3">
      <c r="A419">
        <v>358016</v>
      </c>
      <c r="B419">
        <v>323154</v>
      </c>
      <c r="C419" t="str">
        <f>"130611503540"</f>
        <v>130611503540</v>
      </c>
      <c r="D419" t="s">
        <v>385</v>
      </c>
      <c r="E419" t="s">
        <v>1338</v>
      </c>
      <c r="F419" t="s">
        <v>387</v>
      </c>
      <c r="G419" s="1">
        <v>41436</v>
      </c>
      <c r="I419" t="s">
        <v>240</v>
      </c>
      <c r="J419" t="s">
        <v>200</v>
      </c>
      <c r="K419" t="s">
        <v>201</v>
      </c>
      <c r="Q419" t="s">
        <v>212</v>
      </c>
      <c r="R419" t="str">
        <f>"КАЗАХСТАН, АКМОЛИНСКАЯ, СТЕПНОГОРСК, 24, 21"</f>
        <v>КАЗАХСТАН, АКМОЛИНСКАЯ, СТЕПНОГОРСК, 24, 21</v>
      </c>
      <c r="S419" t="str">
        <f>"ҚАЗАҚСТАН, АҚМОЛА, СТЕПНОГОР, 24, 21"</f>
        <v>ҚАЗАҚСТАН, АҚМОЛА, СТЕПНОГОР, 24, 21</v>
      </c>
      <c r="T419" t="str">
        <f>"24, 21"</f>
        <v>24, 21</v>
      </c>
      <c r="U419" t="str">
        <f>"24, 21"</f>
        <v>24, 21</v>
      </c>
      <c r="AC419" t="str">
        <f>"2019-08-29T00:00:00"</f>
        <v>2019-08-29T00:00:00</v>
      </c>
      <c r="AD419" t="str">
        <f>"1"</f>
        <v>1</v>
      </c>
      <c r="AE419" t="str">
        <f>"2023-09-01T23:52:17"</f>
        <v>2023-09-01T23:52:17</v>
      </c>
      <c r="AF419" t="str">
        <f>"2024-05-25T23:52:17"</f>
        <v>2024-05-25T23:52:17</v>
      </c>
      <c r="AG419" t="s">
        <v>202</v>
      </c>
      <c r="AI419" t="s">
        <v>299</v>
      </c>
      <c r="AJ419" t="s">
        <v>419</v>
      </c>
      <c r="AK419" t="s">
        <v>434</v>
      </c>
      <c r="AL419" t="s">
        <v>206</v>
      </c>
      <c r="AN419" t="s">
        <v>254</v>
      </c>
      <c r="AO419">
        <v>1</v>
      </c>
      <c r="AP419" t="s">
        <v>208</v>
      </c>
      <c r="AQ419" t="s">
        <v>209</v>
      </c>
      <c r="AR419" t="s">
        <v>210</v>
      </c>
      <c r="AW419" t="s">
        <v>206</v>
      </c>
      <c r="AX419" t="s">
        <v>211</v>
      </c>
      <c r="AZ419" t="s">
        <v>209</v>
      </c>
      <c r="BI419" t="s">
        <v>212</v>
      </c>
      <c r="BJ419" t="s">
        <v>213</v>
      </c>
      <c r="BK419" t="s">
        <v>214</v>
      </c>
      <c r="BL419" t="s">
        <v>357</v>
      </c>
      <c r="BN419" t="s">
        <v>216</v>
      </c>
      <c r="BO419" t="s">
        <v>209</v>
      </c>
      <c r="BP419" t="s">
        <v>241</v>
      </c>
      <c r="BQ419">
        <v>4</v>
      </c>
      <c r="BS419" t="s">
        <v>219</v>
      </c>
      <c r="BT419" t="s">
        <v>220</v>
      </c>
      <c r="BU419" t="s">
        <v>212</v>
      </c>
      <c r="BX419" t="s">
        <v>221</v>
      </c>
      <c r="BY419" t="s">
        <v>221</v>
      </c>
      <c r="CA419" t="s">
        <v>256</v>
      </c>
      <c r="CB419" t="s">
        <v>223</v>
      </c>
      <c r="CC419" t="s">
        <v>222</v>
      </c>
      <c r="CD419" t="s">
        <v>223</v>
      </c>
      <c r="CE419" t="s">
        <v>242</v>
      </c>
      <c r="CJ419" t="s">
        <v>206</v>
      </c>
      <c r="CK419" t="s">
        <v>230</v>
      </c>
      <c r="CL419" t="s">
        <v>231</v>
      </c>
      <c r="CM419" t="s">
        <v>232</v>
      </c>
      <c r="CN419" t="s">
        <v>233</v>
      </c>
      <c r="CP419" t="s">
        <v>212</v>
      </c>
      <c r="CQ419" t="s">
        <v>212</v>
      </c>
      <c r="CR419" t="s">
        <v>212</v>
      </c>
      <c r="CS419" t="s">
        <v>212</v>
      </c>
      <c r="CY419" t="s">
        <v>212</v>
      </c>
      <c r="DB419" t="s">
        <v>234</v>
      </c>
      <c r="DE419" t="s">
        <v>212</v>
      </c>
      <c r="DF419" t="s">
        <v>212</v>
      </c>
      <c r="DG419" t="s">
        <v>235</v>
      </c>
      <c r="DH419" t="s">
        <v>212</v>
      </c>
      <c r="DJ419" t="s">
        <v>236</v>
      </c>
      <c r="DM419" t="s">
        <v>206</v>
      </c>
    </row>
    <row r="420" spans="1:117" x14ac:dyDescent="0.3">
      <c r="A420">
        <v>357942</v>
      </c>
      <c r="B420">
        <v>323090</v>
      </c>
      <c r="C420" t="str">
        <f>"121029600837"</f>
        <v>121029600837</v>
      </c>
      <c r="D420" t="s">
        <v>1339</v>
      </c>
      <c r="E420" t="s">
        <v>1340</v>
      </c>
      <c r="F420" t="s">
        <v>1341</v>
      </c>
      <c r="G420" s="1">
        <v>41211</v>
      </c>
      <c r="I420" t="s">
        <v>199</v>
      </c>
      <c r="J420" t="s">
        <v>200</v>
      </c>
      <c r="K420" t="s">
        <v>201</v>
      </c>
      <c r="Q420" t="s">
        <v>212</v>
      </c>
      <c r="R420" t="str">
        <f>"КАЗАХСТАН, АКМОЛИНСКАЯ, СТЕПНОГОРСК, 36, 20"</f>
        <v>КАЗАХСТАН, АКМОЛИНСКАЯ, СТЕПНОГОРСК, 36, 20</v>
      </c>
      <c r="S420" t="str">
        <f>"ҚАЗАҚСТАН, АҚМОЛА, СТЕПНОГОР, 36, 20"</f>
        <v>ҚАЗАҚСТАН, АҚМОЛА, СТЕПНОГОР, 36, 20</v>
      </c>
      <c r="T420" t="str">
        <f>"36, 20"</f>
        <v>36, 20</v>
      </c>
      <c r="U420" t="str">
        <f>"36, 20"</f>
        <v>36, 20</v>
      </c>
      <c r="AC420" t="str">
        <f>"2019-08-29T00:00:00"</f>
        <v>2019-08-29T00:00:00</v>
      </c>
      <c r="AD420" t="str">
        <f>"139"</f>
        <v>139</v>
      </c>
      <c r="AG420" t="s">
        <v>202</v>
      </c>
      <c r="AI420" t="s">
        <v>274</v>
      </c>
      <c r="AJ420" t="s">
        <v>419</v>
      </c>
      <c r="AK420" t="s">
        <v>205</v>
      </c>
      <c r="AL420" t="s">
        <v>206</v>
      </c>
      <c r="AN420" t="s">
        <v>207</v>
      </c>
      <c r="AO420">
        <v>1</v>
      </c>
      <c r="AP420" t="s">
        <v>208</v>
      </c>
      <c r="AQ420" t="s">
        <v>209</v>
      </c>
      <c r="AR420" t="s">
        <v>210</v>
      </c>
      <c r="AW420" t="s">
        <v>206</v>
      </c>
      <c r="AX420" t="s">
        <v>211</v>
      </c>
      <c r="AZ420" t="s">
        <v>209</v>
      </c>
      <c r="BI420" t="s">
        <v>212</v>
      </c>
      <c r="BJ420" t="s">
        <v>213</v>
      </c>
      <c r="BK420" t="s">
        <v>214</v>
      </c>
      <c r="BL420" t="s">
        <v>215</v>
      </c>
      <c r="BN420" t="s">
        <v>247</v>
      </c>
      <c r="BO420" t="s">
        <v>209</v>
      </c>
      <c r="BP420" t="s">
        <v>415</v>
      </c>
      <c r="BQ420" t="s">
        <v>1130</v>
      </c>
      <c r="BS420" t="s">
        <v>219</v>
      </c>
      <c r="BT420" t="s">
        <v>220</v>
      </c>
      <c r="BU420" t="s">
        <v>206</v>
      </c>
      <c r="BX420" t="s">
        <v>221</v>
      </c>
      <c r="BY420" t="s">
        <v>221</v>
      </c>
      <c r="CA420" t="s">
        <v>287</v>
      </c>
      <c r="CC420" t="s">
        <v>222</v>
      </c>
      <c r="CD420" t="s">
        <v>223</v>
      </c>
      <c r="CE420" t="s">
        <v>242</v>
      </c>
      <c r="CJ420" t="s">
        <v>206</v>
      </c>
      <c r="CK420" t="s">
        <v>230</v>
      </c>
      <c r="CL420" t="s">
        <v>231</v>
      </c>
      <c r="CM420" t="s">
        <v>232</v>
      </c>
      <c r="CN420" t="s">
        <v>233</v>
      </c>
      <c r="CP420" t="s">
        <v>212</v>
      </c>
      <c r="CQ420" t="s">
        <v>212</v>
      </c>
      <c r="CR420" t="s">
        <v>212</v>
      </c>
      <c r="CS420" t="s">
        <v>212</v>
      </c>
      <c r="CY420" t="s">
        <v>212</v>
      </c>
      <c r="DB420" t="s">
        <v>234</v>
      </c>
      <c r="DE420" t="s">
        <v>212</v>
      </c>
      <c r="DF420" t="s">
        <v>212</v>
      </c>
      <c r="DG420" t="s">
        <v>235</v>
      </c>
      <c r="DH420" t="s">
        <v>212</v>
      </c>
      <c r="DJ420" t="s">
        <v>236</v>
      </c>
      <c r="DM420" t="s">
        <v>212</v>
      </c>
    </row>
    <row r="421" spans="1:117" x14ac:dyDescent="0.3">
      <c r="A421">
        <v>357909</v>
      </c>
      <c r="B421">
        <v>323065</v>
      </c>
      <c r="C421" t="str">
        <f>"130214500220"</f>
        <v>130214500220</v>
      </c>
      <c r="D421" t="s">
        <v>462</v>
      </c>
      <c r="E421" t="s">
        <v>1342</v>
      </c>
      <c r="F421" t="s">
        <v>1343</v>
      </c>
      <c r="G421" s="1">
        <v>41319</v>
      </c>
      <c r="I421" t="s">
        <v>240</v>
      </c>
      <c r="J421" t="s">
        <v>200</v>
      </c>
      <c r="K421" t="s">
        <v>201</v>
      </c>
      <c r="Q421" t="s">
        <v>212</v>
      </c>
      <c r="R421" t="str">
        <f>"КАЗАХСТАН, АКМОЛИНСКАЯ, СТЕПНОГОРСК, -, 86, 87"</f>
        <v>КАЗАХСТАН, АКМОЛИНСКАЯ, СТЕПНОГОРСК, -, 86, 87</v>
      </c>
      <c r="S421" t="str">
        <f>"ҚАЗАҚСТАН, АҚМОЛА, СТЕПНОГОР, -, 86, 87"</f>
        <v>ҚАЗАҚСТАН, АҚМОЛА, СТЕПНОГОР, -, 86, 87</v>
      </c>
      <c r="T421" t="str">
        <f>"-, 86, 87"</f>
        <v>-, 86, 87</v>
      </c>
      <c r="U421" t="str">
        <f>"-, 86, 87"</f>
        <v>-, 86, 87</v>
      </c>
      <c r="AC421" t="str">
        <f>"2019-09-02T00:00:00"</f>
        <v>2019-09-02T00:00:00</v>
      </c>
      <c r="AD421" t="str">
        <f>"1"</f>
        <v>1</v>
      </c>
      <c r="AE421" t="str">
        <f>"2023-09-01T17:19:53"</f>
        <v>2023-09-01T17:19:53</v>
      </c>
      <c r="AF421" t="str">
        <f>"2024-05-25T17:19:53"</f>
        <v>2024-05-25T17:19:53</v>
      </c>
      <c r="AG421" t="s">
        <v>202</v>
      </c>
      <c r="AI421" t="s">
        <v>299</v>
      </c>
      <c r="AJ421" t="s">
        <v>419</v>
      </c>
      <c r="AK421" t="s">
        <v>434</v>
      </c>
      <c r="AL421" t="s">
        <v>206</v>
      </c>
      <c r="AN421" t="s">
        <v>254</v>
      </c>
      <c r="AO421">
        <v>1</v>
      </c>
      <c r="AP421" t="s">
        <v>208</v>
      </c>
      <c r="AQ421" t="s">
        <v>209</v>
      </c>
      <c r="AR421" t="s">
        <v>210</v>
      </c>
      <c r="AW421" t="s">
        <v>206</v>
      </c>
      <c r="AX421" t="s">
        <v>211</v>
      </c>
      <c r="AZ421" t="s">
        <v>209</v>
      </c>
      <c r="BI421" t="s">
        <v>212</v>
      </c>
      <c r="BJ421" t="s">
        <v>213</v>
      </c>
      <c r="BK421" t="s">
        <v>214</v>
      </c>
      <c r="BL421" t="s">
        <v>215</v>
      </c>
      <c r="BN421" t="s">
        <v>216</v>
      </c>
      <c r="BO421" t="s">
        <v>209</v>
      </c>
      <c r="BP421" t="s">
        <v>241</v>
      </c>
      <c r="BQ421">
        <v>4</v>
      </c>
      <c r="BS421" t="s">
        <v>219</v>
      </c>
      <c r="BT421" t="s">
        <v>220</v>
      </c>
      <c r="BU421" t="s">
        <v>206</v>
      </c>
      <c r="BX421" t="s">
        <v>221</v>
      </c>
      <c r="BY421" t="s">
        <v>221</v>
      </c>
      <c r="CA421" t="s">
        <v>287</v>
      </c>
      <c r="CC421" t="s">
        <v>222</v>
      </c>
      <c r="CD421" t="s">
        <v>223</v>
      </c>
      <c r="CE421" t="s">
        <v>242</v>
      </c>
      <c r="CJ421" t="s">
        <v>206</v>
      </c>
      <c r="CK421" t="s">
        <v>230</v>
      </c>
      <c r="CL421" t="s">
        <v>231</v>
      </c>
      <c r="CM421" t="s">
        <v>232</v>
      </c>
      <c r="CN421" t="s">
        <v>233</v>
      </c>
      <c r="CP421" t="s">
        <v>212</v>
      </c>
      <c r="CQ421" t="s">
        <v>212</v>
      </c>
      <c r="CR421" t="s">
        <v>212</v>
      </c>
      <c r="CS421" t="s">
        <v>212</v>
      </c>
      <c r="CY421" t="s">
        <v>212</v>
      </c>
      <c r="DB421" t="s">
        <v>234</v>
      </c>
      <c r="DE421" t="s">
        <v>212</v>
      </c>
      <c r="DF421" t="s">
        <v>212</v>
      </c>
      <c r="DG421" t="s">
        <v>235</v>
      </c>
      <c r="DH421" t="s">
        <v>212</v>
      </c>
      <c r="DJ421" t="s">
        <v>421</v>
      </c>
      <c r="DK421" t="s">
        <v>422</v>
      </c>
      <c r="DL421" t="s">
        <v>423</v>
      </c>
      <c r="DM421" t="s">
        <v>206</v>
      </c>
    </row>
    <row r="422" spans="1:117" x14ac:dyDescent="0.3">
      <c r="A422">
        <v>357892</v>
      </c>
      <c r="B422">
        <v>323045</v>
      </c>
      <c r="C422" t="str">
        <f>"120606501238"</f>
        <v>120606501238</v>
      </c>
      <c r="D422" t="s">
        <v>556</v>
      </c>
      <c r="E422" t="s">
        <v>679</v>
      </c>
      <c r="F422" t="s">
        <v>558</v>
      </c>
      <c r="G422" s="1">
        <v>41066</v>
      </c>
      <c r="I422" t="s">
        <v>240</v>
      </c>
      <c r="J422" t="s">
        <v>200</v>
      </c>
      <c r="K422" t="s">
        <v>260</v>
      </c>
      <c r="Q422" t="s">
        <v>212</v>
      </c>
      <c r="R422" t="str">
        <f>"КАЗАХСТАН, АКМОЛИНСКАЯ, СТЕПНОГОРСК, 79, 12"</f>
        <v>КАЗАХСТАН, АКМОЛИНСКАЯ, СТЕПНОГОРСК, 79, 12</v>
      </c>
      <c r="S422" t="str">
        <f>"ҚАЗАҚСТАН, АҚМОЛА, СТЕПНОГОР, 79, 12"</f>
        <v>ҚАЗАҚСТАН, АҚМОЛА, СТЕПНОГОР, 79, 12</v>
      </c>
      <c r="T422" t="str">
        <f>"79, 12"</f>
        <v>79, 12</v>
      </c>
      <c r="U422" t="str">
        <f>"79, 12"</f>
        <v>79, 12</v>
      </c>
      <c r="AC422" t="str">
        <f>"2018-08-29T00:00:00"</f>
        <v>2018-08-29T00:00:00</v>
      </c>
      <c r="AD422" t="str">
        <f>"140"</f>
        <v>140</v>
      </c>
      <c r="AG422" t="s">
        <v>202</v>
      </c>
      <c r="AI422" t="s">
        <v>274</v>
      </c>
      <c r="AJ422" t="s">
        <v>348</v>
      </c>
      <c r="AK422" t="s">
        <v>261</v>
      </c>
      <c r="AL422" t="s">
        <v>206</v>
      </c>
      <c r="AN422" t="s">
        <v>207</v>
      </c>
      <c r="AO422">
        <v>1</v>
      </c>
      <c r="AP422" t="s">
        <v>208</v>
      </c>
      <c r="AQ422" t="s">
        <v>209</v>
      </c>
      <c r="AR422" t="s">
        <v>210</v>
      </c>
      <c r="AW422" t="s">
        <v>206</v>
      </c>
      <c r="AX422" t="s">
        <v>211</v>
      </c>
      <c r="AZ422" t="s">
        <v>209</v>
      </c>
      <c r="BI422" t="s">
        <v>212</v>
      </c>
      <c r="BJ422" t="s">
        <v>213</v>
      </c>
      <c r="BK422" t="s">
        <v>214</v>
      </c>
      <c r="BL422" t="s">
        <v>215</v>
      </c>
      <c r="BN422" t="s">
        <v>247</v>
      </c>
      <c r="BO422" t="s">
        <v>209</v>
      </c>
      <c r="BP422" t="s">
        <v>241</v>
      </c>
      <c r="BQ422">
        <v>3</v>
      </c>
      <c r="BS422" t="s">
        <v>219</v>
      </c>
      <c r="BT422" t="s">
        <v>220</v>
      </c>
      <c r="BU422" t="s">
        <v>206</v>
      </c>
      <c r="BX422" t="s">
        <v>221</v>
      </c>
      <c r="BY422" t="s">
        <v>221</v>
      </c>
      <c r="CA422" t="s">
        <v>222</v>
      </c>
      <c r="CB422" t="s">
        <v>223</v>
      </c>
      <c r="CC422" t="s">
        <v>222</v>
      </c>
      <c r="CD422" t="s">
        <v>223</v>
      </c>
      <c r="CE422" t="s">
        <v>242</v>
      </c>
      <c r="CJ422" t="s">
        <v>206</v>
      </c>
      <c r="CK422" t="s">
        <v>230</v>
      </c>
      <c r="CL422" t="s">
        <v>231</v>
      </c>
      <c r="CM422" t="s">
        <v>232</v>
      </c>
      <c r="CN422" t="s">
        <v>233</v>
      </c>
      <c r="CP422" t="s">
        <v>212</v>
      </c>
      <c r="CQ422" t="s">
        <v>212</v>
      </c>
      <c r="CR422" t="s">
        <v>212</v>
      </c>
      <c r="CS422" t="s">
        <v>212</v>
      </c>
      <c r="CY422" t="s">
        <v>212</v>
      </c>
      <c r="DB422" t="s">
        <v>234</v>
      </c>
      <c r="DE422" t="s">
        <v>212</v>
      </c>
      <c r="DF422" t="s">
        <v>212</v>
      </c>
      <c r="DG422" t="s">
        <v>235</v>
      </c>
      <c r="DH422" t="s">
        <v>212</v>
      </c>
      <c r="DJ422" t="s">
        <v>236</v>
      </c>
      <c r="DM422" t="s">
        <v>212</v>
      </c>
    </row>
    <row r="423" spans="1:117" x14ac:dyDescent="0.3">
      <c r="A423">
        <v>25901278</v>
      </c>
      <c r="B423">
        <v>8859902</v>
      </c>
      <c r="C423" t="str">
        <f>"170504603562"</f>
        <v>170504603562</v>
      </c>
      <c r="D423" t="s">
        <v>727</v>
      </c>
      <c r="E423" t="s">
        <v>1344</v>
      </c>
      <c r="F423" t="s">
        <v>728</v>
      </c>
      <c r="G423" s="1">
        <v>42859</v>
      </c>
      <c r="I423" t="s">
        <v>199</v>
      </c>
      <c r="J423" t="s">
        <v>200</v>
      </c>
      <c r="K423" t="s">
        <v>201</v>
      </c>
      <c r="Q423" t="s">
        <v>212</v>
      </c>
      <c r="R423" t="str">
        <f>"КАЗАХСТАН, АКМОЛИНСКАЯ, СТЕПНОГОРСК, 23, 28"</f>
        <v>КАЗАХСТАН, АКМОЛИНСКАЯ, СТЕПНОГОРСК, 23, 28</v>
      </c>
      <c r="S423" t="str">
        <f>"ҚАЗАҚСТАН, АҚМОЛА, СТЕПНОГОР, 23, 28"</f>
        <v>ҚАЗАҚСТАН, АҚМОЛА, СТЕПНОГОР, 23, 28</v>
      </c>
      <c r="T423" t="str">
        <f>"23, 28"</f>
        <v>23, 28</v>
      </c>
      <c r="U423" t="str">
        <f>"23, 28"</f>
        <v>23, 28</v>
      </c>
      <c r="AC423" t="str">
        <f>"2023-08-25T00:00:00"</f>
        <v>2023-08-25T00:00:00</v>
      </c>
      <c r="AD423" t="str">
        <f>"202"</f>
        <v>202</v>
      </c>
      <c r="AG423" t="s">
        <v>202</v>
      </c>
      <c r="AI423" t="s">
        <v>299</v>
      </c>
      <c r="AJ423" t="s">
        <v>1298</v>
      </c>
      <c r="AK423" t="s">
        <v>205</v>
      </c>
      <c r="AL423" t="s">
        <v>206</v>
      </c>
      <c r="AN423" t="s">
        <v>207</v>
      </c>
      <c r="AO423">
        <v>2</v>
      </c>
      <c r="AP423" t="s">
        <v>208</v>
      </c>
      <c r="AQ423" t="s">
        <v>209</v>
      </c>
      <c r="AR423" t="s">
        <v>502</v>
      </c>
      <c r="AW423" t="s">
        <v>212</v>
      </c>
      <c r="AZ423" t="s">
        <v>209</v>
      </c>
      <c r="BI423" t="s">
        <v>212</v>
      </c>
      <c r="BJ423" t="s">
        <v>213</v>
      </c>
      <c r="BK423" t="s">
        <v>214</v>
      </c>
      <c r="BL423" t="s">
        <v>215</v>
      </c>
      <c r="BN423" t="s">
        <v>661</v>
      </c>
      <c r="BO423" t="s">
        <v>209</v>
      </c>
      <c r="BS423" t="s">
        <v>220</v>
      </c>
      <c r="CA423" t="s">
        <v>287</v>
      </c>
      <c r="CC423" t="s">
        <v>209</v>
      </c>
      <c r="CE423" t="s">
        <v>242</v>
      </c>
      <c r="CJ423" t="s">
        <v>206</v>
      </c>
      <c r="CK423" t="s">
        <v>230</v>
      </c>
      <c r="CL423" t="s">
        <v>231</v>
      </c>
      <c r="CM423" t="s">
        <v>232</v>
      </c>
      <c r="CN423" t="s">
        <v>233</v>
      </c>
      <c r="CP423" t="s">
        <v>212</v>
      </c>
      <c r="CQ423" t="s">
        <v>212</v>
      </c>
      <c r="CR423" t="s">
        <v>212</v>
      </c>
      <c r="CS423" t="s">
        <v>212</v>
      </c>
      <c r="CY423" t="s">
        <v>212</v>
      </c>
      <c r="DB423" t="s">
        <v>234</v>
      </c>
      <c r="DE423" t="s">
        <v>212</v>
      </c>
      <c r="DF423" t="s">
        <v>212</v>
      </c>
      <c r="DG423" t="s">
        <v>235</v>
      </c>
      <c r="DH423" t="s">
        <v>212</v>
      </c>
      <c r="DJ423" t="s">
        <v>236</v>
      </c>
      <c r="DM423" t="s">
        <v>206</v>
      </c>
    </row>
    <row r="424" spans="1:117" x14ac:dyDescent="0.3">
      <c r="A424">
        <v>357867</v>
      </c>
      <c r="B424">
        <v>208100</v>
      </c>
      <c r="C424" t="str">
        <f>"120406500798"</f>
        <v>120406500798</v>
      </c>
      <c r="D424" t="s">
        <v>1345</v>
      </c>
      <c r="E424" t="s">
        <v>315</v>
      </c>
      <c r="F424" t="s">
        <v>1346</v>
      </c>
      <c r="G424" s="1">
        <v>41005</v>
      </c>
      <c r="I424" t="s">
        <v>240</v>
      </c>
      <c r="J424" t="s">
        <v>200</v>
      </c>
      <c r="K424" t="s">
        <v>201</v>
      </c>
      <c r="R424" t="str">
        <f>"КАЗАХСТАН, АКМОЛИНСКАЯ, СТЕПНОГОРСК, 50, 5"</f>
        <v>КАЗАХСТАН, АКМОЛИНСКАЯ, СТЕПНОГОРСК, 50, 5</v>
      </c>
      <c r="S424" t="str">
        <f>"ҚАЗАҚСТАН, АҚМОЛА, СТЕПНОГОР, 50, 5"</f>
        <v>ҚАЗАҚСТАН, АҚМОЛА, СТЕПНОГОР, 50, 5</v>
      </c>
      <c r="T424" t="str">
        <f>"50, 5"</f>
        <v>50, 5</v>
      </c>
      <c r="U424" t="str">
        <f>"50, 5"</f>
        <v>50, 5</v>
      </c>
      <c r="AC424" t="str">
        <f>"2018-08-29T00:00:00"</f>
        <v>2018-08-29T00:00:00</v>
      </c>
      <c r="AD424" t="str">
        <f>"140"</f>
        <v>140</v>
      </c>
      <c r="AE424" t="str">
        <f>"2023-09-01T00:18:37"</f>
        <v>2023-09-01T00:18:37</v>
      </c>
      <c r="AF424" t="str">
        <f>"2024-05-25T00:18:37"</f>
        <v>2024-05-25T00:18:37</v>
      </c>
      <c r="AG424" t="s">
        <v>202</v>
      </c>
      <c r="AI424" t="s">
        <v>269</v>
      </c>
      <c r="AJ424" t="s">
        <v>348</v>
      </c>
      <c r="AK424" t="s">
        <v>253</v>
      </c>
      <c r="AL424" t="s">
        <v>206</v>
      </c>
      <c r="AN424" t="s">
        <v>254</v>
      </c>
      <c r="AO424">
        <v>1</v>
      </c>
      <c r="AP424" t="s">
        <v>208</v>
      </c>
      <c r="AQ424" t="s">
        <v>209</v>
      </c>
      <c r="AR424" t="s">
        <v>262</v>
      </c>
      <c r="AW424" t="s">
        <v>206</v>
      </c>
      <c r="AX424" t="s">
        <v>211</v>
      </c>
      <c r="AZ424" t="s">
        <v>209</v>
      </c>
      <c r="BI424" t="s">
        <v>212</v>
      </c>
      <c r="BJ424" t="s">
        <v>213</v>
      </c>
      <c r="BK424" t="s">
        <v>214</v>
      </c>
      <c r="BL424" t="s">
        <v>215</v>
      </c>
      <c r="BN424" t="s">
        <v>216</v>
      </c>
      <c r="BO424" t="s">
        <v>209</v>
      </c>
      <c r="BP424" t="s">
        <v>241</v>
      </c>
      <c r="BQ424">
        <v>4</v>
      </c>
      <c r="BS424" t="s">
        <v>219</v>
      </c>
      <c r="BT424" t="s">
        <v>220</v>
      </c>
      <c r="BU424" t="s">
        <v>206</v>
      </c>
      <c r="BX424" t="s">
        <v>221</v>
      </c>
      <c r="BY424" t="s">
        <v>221</v>
      </c>
      <c r="CA424" t="s">
        <v>256</v>
      </c>
      <c r="CB424" t="s">
        <v>223</v>
      </c>
      <c r="CC424" t="s">
        <v>301</v>
      </c>
      <c r="CD424" t="s">
        <v>223</v>
      </c>
      <c r="CE424" t="s">
        <v>242</v>
      </c>
      <c r="CJ424" t="s">
        <v>206</v>
      </c>
      <c r="CK424" t="s">
        <v>230</v>
      </c>
      <c r="CL424" t="s">
        <v>231</v>
      </c>
      <c r="CM424" t="s">
        <v>232</v>
      </c>
      <c r="CN424" t="s">
        <v>233</v>
      </c>
      <c r="CP424" t="s">
        <v>212</v>
      </c>
      <c r="CQ424" t="s">
        <v>212</v>
      </c>
      <c r="CR424" t="s">
        <v>212</v>
      </c>
      <c r="CS424" t="s">
        <v>212</v>
      </c>
      <c r="CY424" t="s">
        <v>212</v>
      </c>
      <c r="DB424" t="s">
        <v>234</v>
      </c>
      <c r="DE424" t="s">
        <v>212</v>
      </c>
      <c r="DF424" t="s">
        <v>212</v>
      </c>
      <c r="DG424" t="s">
        <v>235</v>
      </c>
      <c r="DH424" t="s">
        <v>212</v>
      </c>
      <c r="DJ424" t="s">
        <v>236</v>
      </c>
      <c r="DM424" t="s">
        <v>212</v>
      </c>
    </row>
    <row r="425" spans="1:117" x14ac:dyDescent="0.3">
      <c r="A425">
        <v>25908338</v>
      </c>
      <c r="B425">
        <v>9894681</v>
      </c>
      <c r="C425" t="str">
        <f>"170804601339"</f>
        <v>170804601339</v>
      </c>
      <c r="D425" t="s">
        <v>1347</v>
      </c>
      <c r="E425" t="s">
        <v>279</v>
      </c>
      <c r="F425" t="s">
        <v>198</v>
      </c>
      <c r="G425" s="1">
        <v>42951</v>
      </c>
      <c r="I425" t="s">
        <v>199</v>
      </c>
      <c r="J425" t="s">
        <v>200</v>
      </c>
      <c r="K425" t="s">
        <v>369</v>
      </c>
      <c r="Q425" t="s">
        <v>212</v>
      </c>
      <c r="R425" t="str">
        <f>"КАЗАХСТАН, АКМОЛИНСКАЯ, СТЕПНОГОРСК, 27, 45"</f>
        <v>КАЗАХСТАН, АКМОЛИНСКАЯ, СТЕПНОГОРСК, 27, 45</v>
      </c>
      <c r="S425" t="str">
        <f>"ҚАЗАҚСТАН, АҚМОЛА, СТЕПНОГОР, 27, 45"</f>
        <v>ҚАЗАҚСТАН, АҚМОЛА, СТЕПНОГОР, 27, 45</v>
      </c>
      <c r="T425" t="str">
        <f>"27, 45"</f>
        <v>27, 45</v>
      </c>
      <c r="U425" t="str">
        <f>"27, 45"</f>
        <v>27, 45</v>
      </c>
      <c r="AC425" t="str">
        <f>"2023-08-25T00:00:00"</f>
        <v>2023-08-25T00:00:00</v>
      </c>
      <c r="AD425" t="str">
        <f>"201"</f>
        <v>201</v>
      </c>
      <c r="AE425" t="str">
        <f>"2023-09-01T17:43:23"</f>
        <v>2023-09-01T17:43:23</v>
      </c>
      <c r="AF425" t="str">
        <f>"2024-05-25T17:43:23"</f>
        <v>2024-05-25T17:43:23</v>
      </c>
      <c r="AG425" t="s">
        <v>202</v>
      </c>
      <c r="AI425" t="s">
        <v>299</v>
      </c>
      <c r="AJ425" t="s">
        <v>660</v>
      </c>
      <c r="AK425" t="s">
        <v>246</v>
      </c>
      <c r="AL425" t="s">
        <v>206</v>
      </c>
      <c r="AN425" t="s">
        <v>207</v>
      </c>
      <c r="AO425">
        <v>1</v>
      </c>
      <c r="AP425" t="s">
        <v>208</v>
      </c>
      <c r="AQ425" t="s">
        <v>209</v>
      </c>
      <c r="AR425" t="s">
        <v>502</v>
      </c>
      <c r="AW425" t="s">
        <v>212</v>
      </c>
      <c r="AZ425" t="s">
        <v>209</v>
      </c>
      <c r="BI425" t="s">
        <v>212</v>
      </c>
      <c r="BJ425" t="s">
        <v>213</v>
      </c>
      <c r="BK425" t="s">
        <v>214</v>
      </c>
      <c r="BL425" t="s">
        <v>357</v>
      </c>
      <c r="BN425" t="s">
        <v>661</v>
      </c>
      <c r="BO425" t="s">
        <v>209</v>
      </c>
      <c r="BS425" t="s">
        <v>220</v>
      </c>
      <c r="BU425" t="s">
        <v>212</v>
      </c>
      <c r="BX425" t="s">
        <v>234</v>
      </c>
      <c r="BY425" t="s">
        <v>234</v>
      </c>
      <c r="BZ425" t="s">
        <v>662</v>
      </c>
      <c r="CA425" t="s">
        <v>287</v>
      </c>
      <c r="CC425" t="s">
        <v>1348</v>
      </c>
      <c r="CD425" t="s">
        <v>1349</v>
      </c>
      <c r="CE425" t="s">
        <v>242</v>
      </c>
      <c r="CJ425" t="s">
        <v>206</v>
      </c>
      <c r="CK425" t="s">
        <v>230</v>
      </c>
      <c r="CL425" t="s">
        <v>231</v>
      </c>
      <c r="CM425" t="s">
        <v>232</v>
      </c>
      <c r="CN425" t="s">
        <v>233</v>
      </c>
      <c r="CP425" t="s">
        <v>212</v>
      </c>
      <c r="CQ425" t="s">
        <v>212</v>
      </c>
      <c r="CR425" t="s">
        <v>212</v>
      </c>
      <c r="CS425" t="s">
        <v>212</v>
      </c>
      <c r="CY425" t="s">
        <v>212</v>
      </c>
      <c r="DB425" t="s">
        <v>234</v>
      </c>
      <c r="DE425" t="s">
        <v>212</v>
      </c>
      <c r="DF425" t="s">
        <v>212</v>
      </c>
      <c r="DG425" t="s">
        <v>235</v>
      </c>
      <c r="DH425" t="s">
        <v>212</v>
      </c>
      <c r="DJ425" t="s">
        <v>236</v>
      </c>
      <c r="DM425" t="s">
        <v>206</v>
      </c>
    </row>
    <row r="426" spans="1:117" x14ac:dyDescent="0.3">
      <c r="A426">
        <v>25908796</v>
      </c>
      <c r="B426">
        <v>11302550</v>
      </c>
      <c r="C426" t="str">
        <f>"160829602827"</f>
        <v>160829602827</v>
      </c>
      <c r="D426" t="s">
        <v>866</v>
      </c>
      <c r="E426" t="s">
        <v>1350</v>
      </c>
      <c r="F426" t="s">
        <v>368</v>
      </c>
      <c r="G426" s="1">
        <v>42611</v>
      </c>
      <c r="I426" t="s">
        <v>199</v>
      </c>
      <c r="J426" t="s">
        <v>200</v>
      </c>
      <c r="K426" t="s">
        <v>201</v>
      </c>
      <c r="Q426" t="s">
        <v>212</v>
      </c>
      <c r="R426" t="str">
        <f>"КАЗАХСТАН, АКМОЛИНСКАЯ, СТЕПНОГОРСК, 6"</f>
        <v>КАЗАХСТАН, АКМОЛИНСКАЯ, СТЕПНОГОРСК, 6</v>
      </c>
      <c r="S426" t="str">
        <f>"ҚАЗАҚСТАН, АҚМОЛА, СТЕПНОГОР, 6"</f>
        <v>ҚАЗАҚСТАН, АҚМОЛА, СТЕПНОГОР, 6</v>
      </c>
      <c r="T426" t="str">
        <f>"6"</f>
        <v>6</v>
      </c>
      <c r="U426" t="str">
        <f>"6"</f>
        <v>6</v>
      </c>
      <c r="AC426" t="str">
        <f>"2023-08-25T00:00:00"</f>
        <v>2023-08-25T00:00:00</v>
      </c>
      <c r="AD426" t="str">
        <f>"201"</f>
        <v>201</v>
      </c>
      <c r="AE426" t="str">
        <f>"2023-09-01T16:34:26"</f>
        <v>2023-09-01T16:34:26</v>
      </c>
      <c r="AF426" t="str">
        <f>"2024-05-25T16:34:26"</f>
        <v>2024-05-25T16:34:26</v>
      </c>
      <c r="AG426" t="s">
        <v>202</v>
      </c>
      <c r="AI426" t="s">
        <v>299</v>
      </c>
      <c r="AJ426" t="s">
        <v>660</v>
      </c>
      <c r="AK426" t="s">
        <v>246</v>
      </c>
      <c r="AL426" t="s">
        <v>206</v>
      </c>
      <c r="AN426" t="s">
        <v>207</v>
      </c>
      <c r="AO426">
        <v>1</v>
      </c>
      <c r="AP426" t="s">
        <v>208</v>
      </c>
      <c r="AQ426" t="s">
        <v>209</v>
      </c>
      <c r="AR426" t="s">
        <v>502</v>
      </c>
      <c r="AW426" t="s">
        <v>212</v>
      </c>
      <c r="AZ426" t="s">
        <v>209</v>
      </c>
      <c r="BI426" t="s">
        <v>212</v>
      </c>
      <c r="BJ426" t="s">
        <v>213</v>
      </c>
      <c r="BK426" t="s">
        <v>214</v>
      </c>
      <c r="BL426" t="s">
        <v>357</v>
      </c>
      <c r="BN426" t="s">
        <v>661</v>
      </c>
      <c r="BO426" t="s">
        <v>209</v>
      </c>
      <c r="BS426" t="s">
        <v>220</v>
      </c>
      <c r="BU426" t="s">
        <v>212</v>
      </c>
      <c r="BZ426" t="s">
        <v>662</v>
      </c>
      <c r="CA426" t="s">
        <v>287</v>
      </c>
      <c r="CC426" t="s">
        <v>209</v>
      </c>
      <c r="CE426" t="s">
        <v>242</v>
      </c>
      <c r="CJ426" t="s">
        <v>206</v>
      </c>
      <c r="CK426" t="s">
        <v>230</v>
      </c>
      <c r="CL426" t="s">
        <v>231</v>
      </c>
      <c r="CM426" t="s">
        <v>232</v>
      </c>
      <c r="CN426" t="s">
        <v>233</v>
      </c>
      <c r="CP426" t="s">
        <v>212</v>
      </c>
      <c r="CQ426" t="s">
        <v>212</v>
      </c>
      <c r="CR426" t="s">
        <v>212</v>
      </c>
      <c r="CS426" t="s">
        <v>212</v>
      </c>
      <c r="CY426" t="s">
        <v>212</v>
      </c>
      <c r="DB426" t="s">
        <v>234</v>
      </c>
      <c r="DE426" t="s">
        <v>212</v>
      </c>
      <c r="DF426" t="s">
        <v>212</v>
      </c>
      <c r="DG426" t="s">
        <v>235</v>
      </c>
      <c r="DH426" t="s">
        <v>206</v>
      </c>
      <c r="DI426" t="s">
        <v>663</v>
      </c>
      <c r="DJ426" t="s">
        <v>664</v>
      </c>
      <c r="DK426" t="s">
        <v>422</v>
      </c>
      <c r="DL426" t="s">
        <v>423</v>
      </c>
      <c r="DM426" t="s">
        <v>206</v>
      </c>
    </row>
    <row r="427" spans="1:117" x14ac:dyDescent="0.3">
      <c r="A427">
        <v>25910264</v>
      </c>
      <c r="B427">
        <v>9724303</v>
      </c>
      <c r="C427" t="str">
        <f>"170608603558"</f>
        <v>170608603558</v>
      </c>
      <c r="D427" t="s">
        <v>1351</v>
      </c>
      <c r="E427" t="s">
        <v>1352</v>
      </c>
      <c r="F427" t="s">
        <v>305</v>
      </c>
      <c r="G427" s="1">
        <v>42894</v>
      </c>
      <c r="I427" t="s">
        <v>199</v>
      </c>
      <c r="J427" t="s">
        <v>200</v>
      </c>
      <c r="K427" t="s">
        <v>1046</v>
      </c>
      <c r="Q427" t="s">
        <v>212</v>
      </c>
      <c r="R427" t="str">
        <f>"КАЗАХСТАН, АКМОЛИНСКАЯ, СТЕПНОГОРСК, 53, 32"</f>
        <v>КАЗАХСТАН, АКМОЛИНСКАЯ, СТЕПНОГОРСК, 53, 32</v>
      </c>
      <c r="S427" t="str">
        <f>"ҚАЗАҚСТАН, АҚМОЛА, СТЕПНОГОР, 53, 32"</f>
        <v>ҚАЗАҚСТАН, АҚМОЛА, СТЕПНОГОР, 53, 32</v>
      </c>
      <c r="T427" t="str">
        <f>"53, 32"</f>
        <v>53, 32</v>
      </c>
      <c r="U427" t="str">
        <f>"53, 32"</f>
        <v>53, 32</v>
      </c>
      <c r="AC427" t="str">
        <f>"2023-08-25T00:00:00"</f>
        <v>2023-08-25T00:00:00</v>
      </c>
      <c r="AD427" t="str">
        <f>"201"</f>
        <v>201</v>
      </c>
      <c r="AG427" t="s">
        <v>202</v>
      </c>
      <c r="AI427" t="s">
        <v>299</v>
      </c>
      <c r="AJ427" t="s">
        <v>660</v>
      </c>
      <c r="AK427" t="s">
        <v>205</v>
      </c>
      <c r="AL427" t="s">
        <v>206</v>
      </c>
      <c r="AN427" t="s">
        <v>207</v>
      </c>
      <c r="AO427">
        <v>1</v>
      </c>
      <c r="AP427" t="s">
        <v>208</v>
      </c>
      <c r="AQ427" t="s">
        <v>209</v>
      </c>
      <c r="AR427" t="s">
        <v>502</v>
      </c>
      <c r="AW427" t="s">
        <v>212</v>
      </c>
      <c r="AZ427" t="s">
        <v>209</v>
      </c>
      <c r="BI427" t="s">
        <v>212</v>
      </c>
      <c r="BJ427" t="s">
        <v>213</v>
      </c>
      <c r="BK427" t="s">
        <v>214</v>
      </c>
      <c r="BL427" t="s">
        <v>357</v>
      </c>
      <c r="BN427" t="s">
        <v>661</v>
      </c>
      <c r="BO427" t="s">
        <v>209</v>
      </c>
      <c r="BS427" t="s">
        <v>220</v>
      </c>
      <c r="BU427" t="s">
        <v>212</v>
      </c>
      <c r="BX427" t="s">
        <v>234</v>
      </c>
      <c r="BY427" t="s">
        <v>234</v>
      </c>
      <c r="BZ427" t="s">
        <v>662</v>
      </c>
      <c r="CA427" t="s">
        <v>287</v>
      </c>
      <c r="CC427" t="s">
        <v>209</v>
      </c>
      <c r="CE427" t="s">
        <v>242</v>
      </c>
      <c r="CJ427" t="s">
        <v>206</v>
      </c>
      <c r="CK427" t="s">
        <v>230</v>
      </c>
      <c r="CL427" t="s">
        <v>231</v>
      </c>
      <c r="CM427" t="s">
        <v>232</v>
      </c>
      <c r="CN427" t="s">
        <v>233</v>
      </c>
      <c r="CP427" t="s">
        <v>212</v>
      </c>
      <c r="CQ427" t="s">
        <v>212</v>
      </c>
      <c r="CR427" t="s">
        <v>212</v>
      </c>
      <c r="CS427" t="s">
        <v>212</v>
      </c>
      <c r="CY427" t="s">
        <v>212</v>
      </c>
      <c r="DB427" t="s">
        <v>234</v>
      </c>
      <c r="DE427" t="s">
        <v>212</v>
      </c>
      <c r="DF427" t="s">
        <v>212</v>
      </c>
      <c r="DG427" t="s">
        <v>235</v>
      </c>
      <c r="DH427" t="s">
        <v>212</v>
      </c>
      <c r="DJ427" t="s">
        <v>236</v>
      </c>
      <c r="DM427" t="s">
        <v>212</v>
      </c>
    </row>
    <row r="428" spans="1:117" x14ac:dyDescent="0.3">
      <c r="A428">
        <v>357845</v>
      </c>
      <c r="B428">
        <v>323010</v>
      </c>
      <c r="C428" t="str">
        <f>"111001600377"</f>
        <v>111001600377</v>
      </c>
      <c r="D428" t="s">
        <v>1353</v>
      </c>
      <c r="E428" t="s">
        <v>1354</v>
      </c>
      <c r="F428" t="s">
        <v>583</v>
      </c>
      <c r="G428" s="1">
        <v>40817</v>
      </c>
      <c r="I428" t="s">
        <v>199</v>
      </c>
      <c r="J428" t="s">
        <v>200</v>
      </c>
      <c r="K428" t="s">
        <v>260</v>
      </c>
      <c r="R428" t="str">
        <f>"КАЗАХСТАН, АКМОЛИНСКАЯ, СТЕПНОГОРСК, 20/1, 6"</f>
        <v>КАЗАХСТАН, АКМОЛИНСКАЯ, СТЕПНОГОРСК, 20/1, 6</v>
      </c>
      <c r="S428" t="str">
        <f>"ҚАЗАҚСТАН, АҚМОЛА, СТЕПНОГОР, 20/1, 6"</f>
        <v>ҚАЗАҚСТАН, АҚМОЛА, СТЕПНОГОР, 20/1, 6</v>
      </c>
      <c r="T428" t="str">
        <f>"20/1, 6"</f>
        <v>20/1, 6</v>
      </c>
      <c r="U428" t="str">
        <f>"20/1, 6"</f>
        <v>20/1, 6</v>
      </c>
      <c r="AC428" t="str">
        <f>"2018-08-29T00:00:00"</f>
        <v>2018-08-29T00:00:00</v>
      </c>
      <c r="AD428" t="str">
        <f>"140"</f>
        <v>140</v>
      </c>
      <c r="AE428" t="str">
        <f>"2023-09-01T17:25:52"</f>
        <v>2023-09-01T17:25:52</v>
      </c>
      <c r="AF428" t="str">
        <f>"2024-05-25T17:25:52"</f>
        <v>2024-05-25T17:25:52</v>
      </c>
      <c r="AG428" t="s">
        <v>202</v>
      </c>
      <c r="AI428" t="s">
        <v>299</v>
      </c>
      <c r="AJ428" t="s">
        <v>348</v>
      </c>
      <c r="AK428" t="s">
        <v>205</v>
      </c>
      <c r="AL428" t="s">
        <v>206</v>
      </c>
      <c r="AN428" t="s">
        <v>207</v>
      </c>
      <c r="AO428">
        <v>1</v>
      </c>
      <c r="AP428" t="s">
        <v>208</v>
      </c>
      <c r="AQ428" t="s">
        <v>209</v>
      </c>
      <c r="AR428" t="s">
        <v>307</v>
      </c>
      <c r="AW428" t="s">
        <v>206</v>
      </c>
      <c r="AX428" t="s">
        <v>211</v>
      </c>
      <c r="AZ428" t="s">
        <v>209</v>
      </c>
      <c r="BI428" t="s">
        <v>212</v>
      </c>
      <c r="BJ428" t="s">
        <v>213</v>
      </c>
      <c r="BK428" t="s">
        <v>214</v>
      </c>
      <c r="BL428" t="s">
        <v>215</v>
      </c>
      <c r="BN428" t="s">
        <v>216</v>
      </c>
      <c r="BO428" t="s">
        <v>209</v>
      </c>
      <c r="BP428" t="s">
        <v>241</v>
      </c>
      <c r="BQ428">
        <v>4</v>
      </c>
      <c r="BS428" t="s">
        <v>219</v>
      </c>
      <c r="BT428" t="s">
        <v>220</v>
      </c>
      <c r="BU428" t="s">
        <v>206</v>
      </c>
      <c r="BX428" t="s">
        <v>221</v>
      </c>
      <c r="BY428" t="s">
        <v>221</v>
      </c>
      <c r="CA428" t="s">
        <v>222</v>
      </c>
      <c r="CB428" t="s">
        <v>223</v>
      </c>
      <c r="CC428" t="s">
        <v>638</v>
      </c>
      <c r="CD428" t="s">
        <v>349</v>
      </c>
      <c r="CE428" t="s">
        <v>342</v>
      </c>
      <c r="CF428" t="s">
        <v>226</v>
      </c>
      <c r="CG428" t="s">
        <v>227</v>
      </c>
      <c r="CH428" t="s">
        <v>209</v>
      </c>
      <c r="CI428" t="s">
        <v>1355</v>
      </c>
      <c r="CJ428" t="s">
        <v>206</v>
      </c>
      <c r="CK428" t="s">
        <v>230</v>
      </c>
      <c r="CL428" t="s">
        <v>231</v>
      </c>
      <c r="CM428" t="s">
        <v>232</v>
      </c>
      <c r="CN428" t="s">
        <v>233</v>
      </c>
      <c r="CP428" t="s">
        <v>212</v>
      </c>
      <c r="CQ428" t="s">
        <v>212</v>
      </c>
      <c r="CR428" t="s">
        <v>212</v>
      </c>
      <c r="CS428" t="s">
        <v>212</v>
      </c>
      <c r="CY428" t="s">
        <v>212</v>
      </c>
      <c r="DB428" t="s">
        <v>234</v>
      </c>
      <c r="DE428" t="s">
        <v>212</v>
      </c>
      <c r="DF428" t="s">
        <v>212</v>
      </c>
      <c r="DG428" t="s">
        <v>235</v>
      </c>
      <c r="DH428" t="s">
        <v>212</v>
      </c>
      <c r="DJ428" t="s">
        <v>236</v>
      </c>
      <c r="DM428" t="s">
        <v>212</v>
      </c>
    </row>
    <row r="429" spans="1:117" x14ac:dyDescent="0.3">
      <c r="A429">
        <v>357814</v>
      </c>
      <c r="B429">
        <v>322984</v>
      </c>
      <c r="C429" t="str">
        <f>"120227502246"</f>
        <v>120227502246</v>
      </c>
      <c r="D429" t="s">
        <v>1356</v>
      </c>
      <c r="E429" t="s">
        <v>1342</v>
      </c>
      <c r="F429" t="s">
        <v>1084</v>
      </c>
      <c r="G429" s="1">
        <v>40966</v>
      </c>
      <c r="I429" t="s">
        <v>240</v>
      </c>
      <c r="J429" t="s">
        <v>200</v>
      </c>
      <c r="K429" t="s">
        <v>201</v>
      </c>
      <c r="R429" t="str">
        <f>"КАЗАХСТАН, АКМОЛИНСКАЯ, СТЕПНОГОРСК, -, 71, 48"</f>
        <v>КАЗАХСТАН, АКМОЛИНСКАЯ, СТЕПНОГОРСК, -, 71, 48</v>
      </c>
      <c r="S429" t="str">
        <f>"ҚАЗАҚСТАН, АҚМОЛА, СТЕПНОГОР, -, 71, 48"</f>
        <v>ҚАЗАҚСТАН, АҚМОЛА, СТЕПНОГОР, -, 71, 48</v>
      </c>
      <c r="T429" t="str">
        <f>"-, 71, 48"</f>
        <v>-, 71, 48</v>
      </c>
      <c r="U429" t="str">
        <f>"-, 71, 48"</f>
        <v>-, 71, 48</v>
      </c>
      <c r="AC429" t="str">
        <f>"2018-08-29T00:00:00"</f>
        <v>2018-08-29T00:00:00</v>
      </c>
      <c r="AD429" t="str">
        <f>"140"</f>
        <v>140</v>
      </c>
      <c r="AG429" t="s">
        <v>202</v>
      </c>
      <c r="AI429" t="s">
        <v>299</v>
      </c>
      <c r="AJ429" t="s">
        <v>348</v>
      </c>
      <c r="AK429" t="s">
        <v>205</v>
      </c>
      <c r="AL429" t="s">
        <v>206</v>
      </c>
      <c r="AN429" t="s">
        <v>207</v>
      </c>
      <c r="AO429">
        <v>1</v>
      </c>
      <c r="AP429" t="s">
        <v>208</v>
      </c>
      <c r="AQ429" t="s">
        <v>209</v>
      </c>
      <c r="AR429" t="s">
        <v>307</v>
      </c>
      <c r="AW429" t="s">
        <v>206</v>
      </c>
      <c r="AX429" t="s">
        <v>211</v>
      </c>
      <c r="AZ429" t="s">
        <v>209</v>
      </c>
      <c r="BI429" t="s">
        <v>212</v>
      </c>
      <c r="BJ429" t="s">
        <v>213</v>
      </c>
      <c r="BK429" t="s">
        <v>214</v>
      </c>
      <c r="BL429" t="s">
        <v>215</v>
      </c>
      <c r="BN429" t="s">
        <v>216</v>
      </c>
      <c r="BO429" t="s">
        <v>209</v>
      </c>
      <c r="BP429" t="s">
        <v>241</v>
      </c>
      <c r="BQ429">
        <v>4</v>
      </c>
      <c r="BS429" t="s">
        <v>219</v>
      </c>
      <c r="BT429" t="s">
        <v>220</v>
      </c>
      <c r="BU429" t="s">
        <v>206</v>
      </c>
      <c r="BX429" t="s">
        <v>221</v>
      </c>
      <c r="BY429" t="s">
        <v>221</v>
      </c>
      <c r="CA429" t="s">
        <v>222</v>
      </c>
      <c r="CB429" t="s">
        <v>223</v>
      </c>
      <c r="CC429" t="s">
        <v>222</v>
      </c>
      <c r="CD429" t="s">
        <v>223</v>
      </c>
      <c r="CE429" t="s">
        <v>242</v>
      </c>
      <c r="CJ429" t="s">
        <v>206</v>
      </c>
      <c r="CK429" t="s">
        <v>230</v>
      </c>
      <c r="CL429" t="s">
        <v>231</v>
      </c>
      <c r="CM429" t="s">
        <v>232</v>
      </c>
      <c r="CN429" t="s">
        <v>233</v>
      </c>
      <c r="CP429" t="s">
        <v>212</v>
      </c>
      <c r="CQ429" t="s">
        <v>212</v>
      </c>
      <c r="CR429" t="s">
        <v>212</v>
      </c>
      <c r="CS429" t="s">
        <v>212</v>
      </c>
      <c r="CY429" t="s">
        <v>212</v>
      </c>
      <c r="DB429" t="s">
        <v>234</v>
      </c>
      <c r="DE429" t="s">
        <v>212</v>
      </c>
      <c r="DF429" t="s">
        <v>212</v>
      </c>
      <c r="DG429" t="s">
        <v>235</v>
      </c>
      <c r="DH429" t="s">
        <v>212</v>
      </c>
      <c r="DJ429" t="s">
        <v>236</v>
      </c>
      <c r="DM429" t="s">
        <v>212</v>
      </c>
    </row>
    <row r="430" spans="1:117" x14ac:dyDescent="0.3">
      <c r="A430">
        <v>357806</v>
      </c>
      <c r="B430">
        <v>322978</v>
      </c>
      <c r="C430" t="str">
        <f>"130211600240"</f>
        <v>130211600240</v>
      </c>
      <c r="D430" t="s">
        <v>616</v>
      </c>
      <c r="E430" t="s">
        <v>1357</v>
      </c>
      <c r="F430" t="s">
        <v>618</v>
      </c>
      <c r="G430" s="1">
        <v>41316</v>
      </c>
      <c r="I430" t="s">
        <v>199</v>
      </c>
      <c r="J430" t="s">
        <v>200</v>
      </c>
      <c r="K430" t="s">
        <v>201</v>
      </c>
      <c r="Q430" t="s">
        <v>212</v>
      </c>
      <c r="R430" t="str">
        <f>"КАЗАХСТАН, АКМОЛИНСКАЯ, СТЕПНОГОРСК, 11, 71"</f>
        <v>КАЗАХСТАН, АКМОЛИНСКАЯ, СТЕПНОГОРСК, 11, 71</v>
      </c>
      <c r="S430" t="str">
        <f>"ҚАЗАҚСТАН, АҚМОЛА, СТЕПНОГОР, 11, 71"</f>
        <v>ҚАЗАҚСТАН, АҚМОЛА, СТЕПНОГОР, 11, 71</v>
      </c>
      <c r="T430" t="str">
        <f>"11, 71"</f>
        <v>11, 71</v>
      </c>
      <c r="U430" t="str">
        <f>"11, 71"</f>
        <v>11, 71</v>
      </c>
      <c r="AC430" t="str">
        <f>"2019-08-29T00:00:00"</f>
        <v>2019-08-29T00:00:00</v>
      </c>
      <c r="AD430" t="str">
        <f>"1"</f>
        <v>1</v>
      </c>
      <c r="AE430" t="str">
        <f>"2023-09-01T23:55:10"</f>
        <v>2023-09-01T23:55:10</v>
      </c>
      <c r="AF430" t="str">
        <f>"2024-05-25T23:55:10"</f>
        <v>2024-05-25T23:55:10</v>
      </c>
      <c r="AG430" t="s">
        <v>202</v>
      </c>
      <c r="AI430" t="s">
        <v>299</v>
      </c>
      <c r="AJ430" t="s">
        <v>419</v>
      </c>
      <c r="AK430" t="s">
        <v>434</v>
      </c>
      <c r="AL430" t="s">
        <v>206</v>
      </c>
      <c r="AN430" t="s">
        <v>254</v>
      </c>
      <c r="AO430">
        <v>1</v>
      </c>
      <c r="AP430" t="s">
        <v>208</v>
      </c>
      <c r="AQ430" t="s">
        <v>209</v>
      </c>
      <c r="AR430" t="s">
        <v>307</v>
      </c>
      <c r="AW430" t="s">
        <v>206</v>
      </c>
      <c r="AX430" t="s">
        <v>211</v>
      </c>
      <c r="AZ430" t="s">
        <v>209</v>
      </c>
      <c r="BI430" t="s">
        <v>212</v>
      </c>
      <c r="BJ430" t="s">
        <v>213</v>
      </c>
      <c r="BK430" t="s">
        <v>214</v>
      </c>
      <c r="BL430" t="s">
        <v>215</v>
      </c>
      <c r="BN430" t="s">
        <v>247</v>
      </c>
      <c r="BO430" t="s">
        <v>209</v>
      </c>
      <c r="BP430" t="s">
        <v>241</v>
      </c>
      <c r="BQ430">
        <v>3</v>
      </c>
      <c r="BS430" t="s">
        <v>219</v>
      </c>
      <c r="BT430" t="s">
        <v>220</v>
      </c>
      <c r="BU430" t="s">
        <v>206</v>
      </c>
      <c r="BX430" t="s">
        <v>221</v>
      </c>
      <c r="BY430" t="s">
        <v>221</v>
      </c>
      <c r="CA430" t="s">
        <v>287</v>
      </c>
      <c r="CC430" t="s">
        <v>222</v>
      </c>
      <c r="CD430" t="s">
        <v>223</v>
      </c>
      <c r="CE430" t="s">
        <v>242</v>
      </c>
      <c r="CJ430" t="s">
        <v>206</v>
      </c>
      <c r="CK430" t="s">
        <v>230</v>
      </c>
      <c r="CL430" t="s">
        <v>231</v>
      </c>
      <c r="CM430" t="s">
        <v>232</v>
      </c>
      <c r="CN430" t="s">
        <v>233</v>
      </c>
      <c r="CP430" t="s">
        <v>212</v>
      </c>
      <c r="CQ430" t="s">
        <v>212</v>
      </c>
      <c r="CR430" t="s">
        <v>212</v>
      </c>
      <c r="CS430" t="s">
        <v>212</v>
      </c>
      <c r="CY430" t="s">
        <v>212</v>
      </c>
      <c r="DB430" t="s">
        <v>234</v>
      </c>
      <c r="DE430" t="s">
        <v>212</v>
      </c>
      <c r="DF430" t="s">
        <v>212</v>
      </c>
      <c r="DG430" t="s">
        <v>235</v>
      </c>
      <c r="DH430" t="s">
        <v>212</v>
      </c>
      <c r="DJ430" t="s">
        <v>236</v>
      </c>
      <c r="DM430" t="s">
        <v>212</v>
      </c>
    </row>
    <row r="431" spans="1:117" x14ac:dyDescent="0.3">
      <c r="A431">
        <v>357774</v>
      </c>
      <c r="B431">
        <v>322941</v>
      </c>
      <c r="C431" t="str">
        <f>"121118500884"</f>
        <v>121118500884</v>
      </c>
      <c r="D431" t="s">
        <v>1358</v>
      </c>
      <c r="E431" t="s">
        <v>1359</v>
      </c>
      <c r="F431" t="s">
        <v>738</v>
      </c>
      <c r="G431" s="1">
        <v>41231</v>
      </c>
      <c r="I431" t="s">
        <v>240</v>
      </c>
      <c r="J431" t="s">
        <v>200</v>
      </c>
      <c r="K431" t="s">
        <v>201</v>
      </c>
      <c r="Q431" t="s">
        <v>212</v>
      </c>
      <c r="R431" t="str">
        <f>"КАЗАХСТАН, АКМОЛИНСКАЯ, СТЕПНОГОРСК, 45"</f>
        <v>КАЗАХСТАН, АКМОЛИНСКАЯ, СТЕПНОГОРСК, 45</v>
      </c>
      <c r="S431" t="str">
        <f>"ҚАЗАҚСТАН, АҚМОЛА, СТЕПНОГОР, 45"</f>
        <v>ҚАЗАҚСТАН, АҚМОЛА, СТЕПНОГОР, 45</v>
      </c>
      <c r="T431" t="str">
        <f>"45"</f>
        <v>45</v>
      </c>
      <c r="U431" t="str">
        <f>"45"</f>
        <v>45</v>
      </c>
      <c r="AC431" t="str">
        <f>"2019-06-13T00:00:00"</f>
        <v>2019-06-13T00:00:00</v>
      </c>
      <c r="AD431" t="str">
        <f>"85"</f>
        <v>85</v>
      </c>
      <c r="AE431" t="str">
        <f>"2023-09-01T00:11:17"</f>
        <v>2023-09-01T00:11:17</v>
      </c>
      <c r="AF431" t="str">
        <f>"2024-05-25T00:11:17"</f>
        <v>2024-05-25T00:11:17</v>
      </c>
      <c r="AG431" t="s">
        <v>202</v>
      </c>
      <c r="AI431" t="s">
        <v>299</v>
      </c>
      <c r="AJ431" t="s">
        <v>419</v>
      </c>
      <c r="AK431" t="s">
        <v>205</v>
      </c>
      <c r="AL431" t="s">
        <v>206</v>
      </c>
      <c r="AN431" t="s">
        <v>207</v>
      </c>
      <c r="AO431">
        <v>1</v>
      </c>
      <c r="AP431" t="s">
        <v>208</v>
      </c>
      <c r="AQ431" t="s">
        <v>209</v>
      </c>
      <c r="AR431" t="s">
        <v>210</v>
      </c>
      <c r="AW431" t="s">
        <v>206</v>
      </c>
      <c r="AX431" t="s">
        <v>211</v>
      </c>
      <c r="AZ431" t="s">
        <v>209</v>
      </c>
      <c r="BI431" t="s">
        <v>212</v>
      </c>
      <c r="BJ431" t="s">
        <v>213</v>
      </c>
      <c r="BK431" t="s">
        <v>214</v>
      </c>
      <c r="BL431" t="s">
        <v>215</v>
      </c>
      <c r="BN431" t="s">
        <v>247</v>
      </c>
      <c r="BO431" t="s">
        <v>209</v>
      </c>
      <c r="BP431" t="s">
        <v>415</v>
      </c>
      <c r="BQ431" t="s">
        <v>416</v>
      </c>
      <c r="BS431" t="s">
        <v>219</v>
      </c>
      <c r="BT431" t="s">
        <v>220</v>
      </c>
      <c r="BU431" t="s">
        <v>206</v>
      </c>
      <c r="BX431" t="s">
        <v>221</v>
      </c>
      <c r="BY431" t="s">
        <v>221</v>
      </c>
      <c r="CA431" t="s">
        <v>287</v>
      </c>
      <c r="CC431" t="s">
        <v>222</v>
      </c>
      <c r="CD431" t="s">
        <v>223</v>
      </c>
      <c r="CE431" t="s">
        <v>242</v>
      </c>
      <c r="CJ431" t="s">
        <v>206</v>
      </c>
      <c r="CK431" t="s">
        <v>230</v>
      </c>
      <c r="CL431" t="s">
        <v>231</v>
      </c>
      <c r="CM431" t="s">
        <v>232</v>
      </c>
      <c r="CN431" t="s">
        <v>233</v>
      </c>
      <c r="CP431" t="s">
        <v>212</v>
      </c>
      <c r="CQ431" t="s">
        <v>212</v>
      </c>
      <c r="CR431" t="s">
        <v>212</v>
      </c>
      <c r="CS431" t="s">
        <v>212</v>
      </c>
      <c r="CY431" t="s">
        <v>212</v>
      </c>
      <c r="DB431" t="s">
        <v>234</v>
      </c>
      <c r="DE431" t="s">
        <v>212</v>
      </c>
      <c r="DF431" t="s">
        <v>212</v>
      </c>
      <c r="DG431" t="s">
        <v>235</v>
      </c>
      <c r="DH431" t="s">
        <v>212</v>
      </c>
      <c r="DJ431" t="s">
        <v>236</v>
      </c>
      <c r="DM431" t="s">
        <v>212</v>
      </c>
    </row>
    <row r="432" spans="1:117" x14ac:dyDescent="0.3">
      <c r="A432">
        <v>357323</v>
      </c>
      <c r="B432">
        <v>322522</v>
      </c>
      <c r="C432" t="str">
        <f>"090827554400"</f>
        <v>090827554400</v>
      </c>
      <c r="D432" t="s">
        <v>468</v>
      </c>
      <c r="E432" t="s">
        <v>410</v>
      </c>
      <c r="F432" t="s">
        <v>1360</v>
      </c>
      <c r="G432" s="1">
        <v>40052</v>
      </c>
      <c r="I432" t="s">
        <v>240</v>
      </c>
      <c r="J432" t="s">
        <v>200</v>
      </c>
      <c r="K432" t="s">
        <v>469</v>
      </c>
      <c r="R432" t="str">
        <f>"АНДОРРА, АКМОЛИНСКАЯ, СТЕПНОГОРСК, СТЕПНОГОРСК, 40, 8"</f>
        <v>АНДОРРА, АКМОЛИНСКАЯ, СТЕПНОГОРСК, СТЕПНОГОРСК, 40, 8</v>
      </c>
      <c r="S432" t="str">
        <f>"АНДОРРА, АҚМОЛА, СТЕПНОГОР, СТЕПНОГОРСК, 40, 8"</f>
        <v>АНДОРРА, АҚМОЛА, СТЕПНОГОР, СТЕПНОГОРСК, 40, 8</v>
      </c>
      <c r="T432" t="str">
        <f>"СТЕПНОГОРСК, 40, 8"</f>
        <v>СТЕПНОГОРСК, 40, 8</v>
      </c>
      <c r="U432" t="str">
        <f>"СТЕПНОГОРСК, 40, 8"</f>
        <v>СТЕПНОГОРСК, 40, 8</v>
      </c>
      <c r="AC432" t="str">
        <f>"2017-08-29T00:00:00"</f>
        <v>2017-08-29T00:00:00</v>
      </c>
      <c r="AD432" t="str">
        <f>"114"</f>
        <v>114</v>
      </c>
      <c r="AG432" t="s">
        <v>202</v>
      </c>
      <c r="AH432" t="str">
        <f>"ckool007@mail.ru"</f>
        <v>ckool007@mail.ru</v>
      </c>
      <c r="AI432" t="s">
        <v>203</v>
      </c>
      <c r="AJ432" t="s">
        <v>286</v>
      </c>
      <c r="AK432" t="s">
        <v>261</v>
      </c>
      <c r="AL432" t="s">
        <v>206</v>
      </c>
      <c r="AN432" t="s">
        <v>207</v>
      </c>
      <c r="AO432">
        <v>1</v>
      </c>
      <c r="AP432" t="s">
        <v>208</v>
      </c>
      <c r="AQ432" t="s">
        <v>209</v>
      </c>
      <c r="AR432" t="s">
        <v>210</v>
      </c>
      <c r="AV432" t="str">
        <f>"2021-01-25T00:14:16"</f>
        <v>2021-01-25T00:14:16</v>
      </c>
      <c r="AW432" t="s">
        <v>206</v>
      </c>
      <c r="AX432" t="s">
        <v>211</v>
      </c>
      <c r="AZ432" t="s">
        <v>209</v>
      </c>
      <c r="BI432" t="s">
        <v>212</v>
      </c>
      <c r="BJ432" t="s">
        <v>213</v>
      </c>
      <c r="BK432" t="s">
        <v>214</v>
      </c>
      <c r="BL432" t="s">
        <v>215</v>
      </c>
      <c r="BN432" t="s">
        <v>247</v>
      </c>
      <c r="BO432" t="s">
        <v>209</v>
      </c>
      <c r="BP432" t="s">
        <v>217</v>
      </c>
      <c r="BQ432" t="s">
        <v>248</v>
      </c>
      <c r="BS432" t="s">
        <v>219</v>
      </c>
      <c r="BT432" t="s">
        <v>220</v>
      </c>
      <c r="BU432" t="s">
        <v>206</v>
      </c>
      <c r="BX432" t="s">
        <v>234</v>
      </c>
      <c r="BY432" t="s">
        <v>234</v>
      </c>
      <c r="CA432" t="s">
        <v>287</v>
      </c>
      <c r="CC432" t="s">
        <v>209</v>
      </c>
      <c r="CE432" t="s">
        <v>225</v>
      </c>
      <c r="CF432" t="s">
        <v>226</v>
      </c>
      <c r="CG432" t="s">
        <v>227</v>
      </c>
      <c r="CH432" t="s">
        <v>228</v>
      </c>
      <c r="CI432" t="s">
        <v>1361</v>
      </c>
      <c r="CJ432" t="s">
        <v>206</v>
      </c>
      <c r="CK432" t="s">
        <v>230</v>
      </c>
      <c r="CL432" t="s">
        <v>231</v>
      </c>
      <c r="CM432" t="s">
        <v>232</v>
      </c>
      <c r="CN432" t="s">
        <v>233</v>
      </c>
      <c r="CP432" t="s">
        <v>212</v>
      </c>
      <c r="CQ432" t="s">
        <v>212</v>
      </c>
      <c r="CR432" t="s">
        <v>212</v>
      </c>
      <c r="CS432" t="s">
        <v>212</v>
      </c>
      <c r="CY432" t="s">
        <v>212</v>
      </c>
      <c r="DB432" t="s">
        <v>234</v>
      </c>
      <c r="DE432" t="s">
        <v>212</v>
      </c>
      <c r="DF432" t="s">
        <v>212</v>
      </c>
      <c r="DG432" t="s">
        <v>235</v>
      </c>
      <c r="DH432" t="s">
        <v>212</v>
      </c>
      <c r="DJ432" t="s">
        <v>236</v>
      </c>
      <c r="DM432" t="s">
        <v>212</v>
      </c>
    </row>
    <row r="433" spans="1:117" x14ac:dyDescent="0.3">
      <c r="A433">
        <v>357089</v>
      </c>
      <c r="B433">
        <v>322330</v>
      </c>
      <c r="C433" t="str">
        <f>"110901501448"</f>
        <v>110901501448</v>
      </c>
      <c r="D433" t="s">
        <v>1362</v>
      </c>
      <c r="E433" t="s">
        <v>1091</v>
      </c>
      <c r="F433" t="s">
        <v>676</v>
      </c>
      <c r="G433" s="1">
        <v>40787</v>
      </c>
      <c r="I433" t="s">
        <v>240</v>
      </c>
      <c r="J433" t="s">
        <v>200</v>
      </c>
      <c r="K433" t="s">
        <v>260</v>
      </c>
      <c r="R433" t="str">
        <f>"КАЗАХСТАН, АКМОЛИНСКАЯ, СТЕПНОГОРСК, 18, 310"</f>
        <v>КАЗАХСТАН, АКМОЛИНСКАЯ, СТЕПНОГОРСК, 18, 310</v>
      </c>
      <c r="S433" t="str">
        <f>"ҚАЗАҚСТАН, АҚМОЛА, СТЕПНОГОР, 18, 310"</f>
        <v>ҚАЗАҚСТАН, АҚМОЛА, СТЕПНОГОР, 18, 310</v>
      </c>
      <c r="T433" t="str">
        <f>"18, 310"</f>
        <v>18, 310</v>
      </c>
      <c r="U433" t="str">
        <f>"18, 310"</f>
        <v>18, 310</v>
      </c>
      <c r="AC433" t="str">
        <f>"2018-08-29T00:00:00"</f>
        <v>2018-08-29T00:00:00</v>
      </c>
      <c r="AD433" t="str">
        <f>"140"</f>
        <v>140</v>
      </c>
      <c r="AG433" t="s">
        <v>202</v>
      </c>
      <c r="AI433" t="s">
        <v>269</v>
      </c>
      <c r="AJ433" t="s">
        <v>348</v>
      </c>
      <c r="AK433" t="s">
        <v>205</v>
      </c>
      <c r="AL433" t="s">
        <v>206</v>
      </c>
      <c r="AN433" t="s">
        <v>207</v>
      </c>
      <c r="AO433">
        <v>1</v>
      </c>
      <c r="AP433" t="s">
        <v>208</v>
      </c>
      <c r="AQ433" t="s">
        <v>209</v>
      </c>
      <c r="AR433" t="s">
        <v>210</v>
      </c>
      <c r="AW433" t="s">
        <v>206</v>
      </c>
      <c r="AX433" t="s">
        <v>211</v>
      </c>
      <c r="AZ433" t="s">
        <v>209</v>
      </c>
      <c r="BI433" t="s">
        <v>212</v>
      </c>
      <c r="BJ433" t="s">
        <v>213</v>
      </c>
      <c r="BK433" t="s">
        <v>214</v>
      </c>
      <c r="BL433" t="s">
        <v>215</v>
      </c>
      <c r="BN433" t="s">
        <v>216</v>
      </c>
      <c r="BO433" t="s">
        <v>209</v>
      </c>
      <c r="BP433" t="s">
        <v>241</v>
      </c>
      <c r="BQ433">
        <v>4</v>
      </c>
      <c r="BS433" t="s">
        <v>219</v>
      </c>
      <c r="BT433" t="s">
        <v>220</v>
      </c>
      <c r="BU433" t="s">
        <v>206</v>
      </c>
      <c r="BX433" t="s">
        <v>221</v>
      </c>
      <c r="BY433" t="s">
        <v>221</v>
      </c>
      <c r="CA433" t="s">
        <v>222</v>
      </c>
      <c r="CB433" t="s">
        <v>223</v>
      </c>
      <c r="CC433" t="s">
        <v>222</v>
      </c>
      <c r="CD433" t="s">
        <v>223</v>
      </c>
      <c r="CE433" t="s">
        <v>342</v>
      </c>
      <c r="CF433" t="s">
        <v>226</v>
      </c>
      <c r="CG433" t="s">
        <v>227</v>
      </c>
      <c r="CH433" t="s">
        <v>209</v>
      </c>
      <c r="CI433" t="s">
        <v>1363</v>
      </c>
      <c r="CJ433" t="s">
        <v>206</v>
      </c>
      <c r="CK433" t="s">
        <v>230</v>
      </c>
      <c r="CL433" t="s">
        <v>231</v>
      </c>
      <c r="CM433" t="s">
        <v>232</v>
      </c>
      <c r="CN433" t="s">
        <v>233</v>
      </c>
      <c r="CP433" t="s">
        <v>212</v>
      </c>
      <c r="CQ433" t="s">
        <v>212</v>
      </c>
      <c r="CR433" t="s">
        <v>212</v>
      </c>
      <c r="CS433" t="s">
        <v>212</v>
      </c>
      <c r="CY433" t="s">
        <v>212</v>
      </c>
      <c r="DB433" t="s">
        <v>234</v>
      </c>
      <c r="DE433" t="s">
        <v>212</v>
      </c>
      <c r="DF433" t="s">
        <v>212</v>
      </c>
      <c r="DG433" t="s">
        <v>235</v>
      </c>
      <c r="DH433" t="s">
        <v>212</v>
      </c>
      <c r="DJ433" t="s">
        <v>236</v>
      </c>
      <c r="DM433" t="s">
        <v>212</v>
      </c>
    </row>
    <row r="434" spans="1:117" x14ac:dyDescent="0.3">
      <c r="A434">
        <v>25912711</v>
      </c>
      <c r="B434">
        <v>9204102</v>
      </c>
      <c r="C434" t="str">
        <f>"170128501328"</f>
        <v>170128501328</v>
      </c>
      <c r="D434" t="s">
        <v>1364</v>
      </c>
      <c r="E434" t="s">
        <v>978</v>
      </c>
      <c r="F434" t="s">
        <v>942</v>
      </c>
      <c r="G434" s="1">
        <v>42763</v>
      </c>
      <c r="I434" t="s">
        <v>240</v>
      </c>
      <c r="J434" t="s">
        <v>200</v>
      </c>
      <c r="K434" t="s">
        <v>260</v>
      </c>
      <c r="Q434" t="s">
        <v>212</v>
      </c>
      <c r="R434" t="str">
        <f>"КАЗАХСТАН, АКМОЛИНСКАЯ, СТЕПНОГОРСК, СТЕПНОГОРСК, 29, 917"</f>
        <v>КАЗАХСТАН, АКМОЛИНСКАЯ, СТЕПНОГОРСК, СТЕПНОГОРСК, 29, 917</v>
      </c>
      <c r="S434" t="str">
        <f>"ҚАЗАҚСТАН, АҚМОЛА, СТЕПНОГОР, СТЕПНОГОРСК, 29, 917"</f>
        <v>ҚАЗАҚСТАН, АҚМОЛА, СТЕПНОГОР, СТЕПНОГОРСК, 29, 917</v>
      </c>
      <c r="T434" t="str">
        <f>"СТЕПНОГОРСК, 29, 917"</f>
        <v>СТЕПНОГОРСК, 29, 917</v>
      </c>
      <c r="U434" t="str">
        <f>"СТЕПНОГОРСК, 29, 917"</f>
        <v>СТЕПНОГОРСК, 29, 917</v>
      </c>
      <c r="AC434" t="str">
        <f>"2023-08-25T00:00:00"</f>
        <v>2023-08-25T00:00:00</v>
      </c>
      <c r="AD434" t="str">
        <f>"201"</f>
        <v>201</v>
      </c>
      <c r="AE434" t="str">
        <f>"2023-09-01T13:46:37"</f>
        <v>2023-09-01T13:46:37</v>
      </c>
      <c r="AF434" t="str">
        <f>"2024-05-25T13:46:37"</f>
        <v>2024-05-25T13:46:37</v>
      </c>
      <c r="AG434" t="s">
        <v>202</v>
      </c>
      <c r="AI434" t="s">
        <v>299</v>
      </c>
      <c r="AJ434" t="s">
        <v>660</v>
      </c>
      <c r="AK434" t="s">
        <v>261</v>
      </c>
      <c r="AL434" t="s">
        <v>206</v>
      </c>
      <c r="AN434" t="s">
        <v>207</v>
      </c>
      <c r="AO434">
        <v>1</v>
      </c>
      <c r="AP434" t="s">
        <v>208</v>
      </c>
      <c r="AQ434" t="s">
        <v>209</v>
      </c>
      <c r="AR434" t="s">
        <v>502</v>
      </c>
      <c r="AW434" t="s">
        <v>212</v>
      </c>
      <c r="AZ434" t="s">
        <v>209</v>
      </c>
      <c r="BI434" t="s">
        <v>212</v>
      </c>
      <c r="BJ434" t="s">
        <v>213</v>
      </c>
      <c r="BK434" t="s">
        <v>214</v>
      </c>
      <c r="BL434" t="s">
        <v>357</v>
      </c>
      <c r="BN434" t="s">
        <v>661</v>
      </c>
      <c r="BO434" t="s">
        <v>209</v>
      </c>
      <c r="BS434" t="s">
        <v>220</v>
      </c>
      <c r="BU434" t="s">
        <v>212</v>
      </c>
      <c r="BZ434" t="s">
        <v>662</v>
      </c>
      <c r="CA434" t="s">
        <v>287</v>
      </c>
      <c r="CC434" t="s">
        <v>209</v>
      </c>
      <c r="CE434" t="s">
        <v>242</v>
      </c>
      <c r="CJ434" t="s">
        <v>206</v>
      </c>
      <c r="CK434" t="s">
        <v>230</v>
      </c>
      <c r="CL434" t="s">
        <v>231</v>
      </c>
      <c r="CM434" t="s">
        <v>232</v>
      </c>
      <c r="CN434" t="s">
        <v>233</v>
      </c>
      <c r="CP434" t="s">
        <v>212</v>
      </c>
      <c r="CQ434" t="s">
        <v>212</v>
      </c>
      <c r="CR434" t="s">
        <v>212</v>
      </c>
      <c r="CS434" t="s">
        <v>212</v>
      </c>
      <c r="CY434" t="s">
        <v>212</v>
      </c>
      <c r="DB434" t="s">
        <v>653</v>
      </c>
      <c r="DC434" t="str">
        <f>"№1927 Общее недоразвитие речи 3 уровня."</f>
        <v>№1927 Общее недоразвитие речи 3 уровня.</v>
      </c>
      <c r="DD434" t="str">
        <f>"2022-12-26T00:00:00"</f>
        <v>2022-12-26T00:00:00</v>
      </c>
      <c r="DE434" t="s">
        <v>212</v>
      </c>
      <c r="DF434" t="s">
        <v>206</v>
      </c>
      <c r="DG434" t="s">
        <v>235</v>
      </c>
      <c r="DH434" t="s">
        <v>212</v>
      </c>
      <c r="DJ434" t="s">
        <v>236</v>
      </c>
      <c r="DM434" t="s">
        <v>212</v>
      </c>
    </row>
    <row r="435" spans="1:117" x14ac:dyDescent="0.3">
      <c r="A435">
        <v>356957</v>
      </c>
      <c r="B435">
        <v>322210</v>
      </c>
      <c r="C435" t="str">
        <f>"101212501989"</f>
        <v>101212501989</v>
      </c>
      <c r="D435" t="s">
        <v>1365</v>
      </c>
      <c r="E435" t="s">
        <v>1366</v>
      </c>
      <c r="F435" t="s">
        <v>1367</v>
      </c>
      <c r="G435" s="1">
        <v>40524</v>
      </c>
      <c r="I435" t="s">
        <v>240</v>
      </c>
      <c r="J435" t="s">
        <v>200</v>
      </c>
      <c r="K435" t="s">
        <v>1336</v>
      </c>
      <c r="R435" t="str">
        <f>"КАЗАХСТАН, АКМОЛИНСКАЯ, СТЕПНОГОРСК, 22, 33"</f>
        <v>КАЗАХСТАН, АКМОЛИНСКАЯ, СТЕПНОГОРСК, 22, 33</v>
      </c>
      <c r="S435" t="str">
        <f>"ҚАЗАҚСТАН, АҚМОЛА, СТЕПНОГОР, 22, 33"</f>
        <v>ҚАЗАҚСТАН, АҚМОЛА, СТЕПНОГОР, 22, 33</v>
      </c>
      <c r="T435" t="str">
        <f>"22, 33"</f>
        <v>22, 33</v>
      </c>
      <c r="U435" t="str">
        <f>"22, 33"</f>
        <v>22, 33</v>
      </c>
      <c r="AC435" t="str">
        <f>"2017-08-29T00:00:00"</f>
        <v>2017-08-29T00:00:00</v>
      </c>
      <c r="AD435" t="str">
        <f>"112"</f>
        <v>112</v>
      </c>
      <c r="AG435" t="s">
        <v>202</v>
      </c>
      <c r="AI435" t="s">
        <v>274</v>
      </c>
      <c r="AJ435" t="s">
        <v>300</v>
      </c>
      <c r="AK435" t="s">
        <v>246</v>
      </c>
      <c r="AL435" t="s">
        <v>206</v>
      </c>
      <c r="AN435" t="s">
        <v>207</v>
      </c>
      <c r="AO435">
        <v>1</v>
      </c>
      <c r="AP435" t="s">
        <v>208</v>
      </c>
      <c r="AQ435" t="s">
        <v>209</v>
      </c>
      <c r="AR435" t="s">
        <v>210</v>
      </c>
      <c r="AW435" t="s">
        <v>206</v>
      </c>
      <c r="AX435" t="s">
        <v>211</v>
      </c>
      <c r="AZ435" t="s">
        <v>209</v>
      </c>
      <c r="BI435" t="s">
        <v>212</v>
      </c>
      <c r="BJ435" t="s">
        <v>213</v>
      </c>
      <c r="BK435" t="s">
        <v>214</v>
      </c>
      <c r="BL435" t="s">
        <v>215</v>
      </c>
      <c r="BN435" t="s">
        <v>247</v>
      </c>
      <c r="BO435" t="s">
        <v>209</v>
      </c>
      <c r="BP435" t="s">
        <v>241</v>
      </c>
      <c r="BQ435">
        <v>3</v>
      </c>
      <c r="BS435" t="s">
        <v>219</v>
      </c>
      <c r="BT435" t="s">
        <v>220</v>
      </c>
      <c r="BU435" t="s">
        <v>206</v>
      </c>
      <c r="BX435" t="s">
        <v>234</v>
      </c>
      <c r="BY435" t="s">
        <v>234</v>
      </c>
      <c r="CA435" t="s">
        <v>222</v>
      </c>
      <c r="CB435" t="s">
        <v>223</v>
      </c>
      <c r="CC435" t="s">
        <v>222</v>
      </c>
      <c r="CD435" t="s">
        <v>223</v>
      </c>
      <c r="CE435" t="s">
        <v>242</v>
      </c>
      <c r="CJ435" t="s">
        <v>206</v>
      </c>
      <c r="CK435" t="s">
        <v>264</v>
      </c>
      <c r="CL435" t="s">
        <v>231</v>
      </c>
      <c r="CM435" t="s">
        <v>232</v>
      </c>
      <c r="CN435" t="s">
        <v>233</v>
      </c>
      <c r="CP435" t="s">
        <v>212</v>
      </c>
      <c r="CQ435" t="s">
        <v>212</v>
      </c>
      <c r="CR435" t="s">
        <v>212</v>
      </c>
      <c r="CS435" t="s">
        <v>212</v>
      </c>
      <c r="CY435" t="s">
        <v>212</v>
      </c>
      <c r="DB435" t="s">
        <v>234</v>
      </c>
      <c r="DE435" t="s">
        <v>212</v>
      </c>
      <c r="DF435" t="s">
        <v>212</v>
      </c>
      <c r="DG435" t="s">
        <v>235</v>
      </c>
      <c r="DH435" t="s">
        <v>212</v>
      </c>
      <c r="DJ435" t="s">
        <v>236</v>
      </c>
      <c r="DM435" t="s">
        <v>212</v>
      </c>
    </row>
    <row r="436" spans="1:117" x14ac:dyDescent="0.3">
      <c r="A436">
        <v>356924</v>
      </c>
      <c r="B436">
        <v>322178</v>
      </c>
      <c r="C436" t="str">
        <f>"110217602256"</f>
        <v>110217602256</v>
      </c>
      <c r="D436" t="s">
        <v>1368</v>
      </c>
      <c r="E436" t="s">
        <v>1013</v>
      </c>
      <c r="F436" t="s">
        <v>1369</v>
      </c>
      <c r="G436" s="1">
        <v>40591</v>
      </c>
      <c r="I436" t="s">
        <v>199</v>
      </c>
      <c r="J436" t="s">
        <v>200</v>
      </c>
      <c r="K436" t="s">
        <v>201</v>
      </c>
      <c r="R436" t="str">
        <f>"АНДОРРА, АКМОЛИНСКАЯ, СТЕПНОГОРСК, 19, 52"</f>
        <v>АНДОРРА, АКМОЛИНСКАЯ, СТЕПНОГОРСК, 19, 52</v>
      </c>
      <c r="S436" t="str">
        <f>"АНДОРРА, АҚМОЛА, СТЕПНОГОР, 19, 52"</f>
        <v>АНДОРРА, АҚМОЛА, СТЕПНОГОР, 19, 52</v>
      </c>
      <c r="T436" t="str">
        <f>"19, 52"</f>
        <v>19, 52</v>
      </c>
      <c r="U436" t="str">
        <f>"19, 52"</f>
        <v>19, 52</v>
      </c>
      <c r="AC436" t="str">
        <f>"2017-08-29T00:00:00"</f>
        <v>2017-08-29T00:00:00</v>
      </c>
      <c r="AD436" t="str">
        <f>"112"</f>
        <v>112</v>
      </c>
      <c r="AG436" t="s">
        <v>202</v>
      </c>
      <c r="AI436" t="s">
        <v>274</v>
      </c>
      <c r="AJ436" t="s">
        <v>300</v>
      </c>
      <c r="AK436" t="s">
        <v>261</v>
      </c>
      <c r="AL436" t="s">
        <v>206</v>
      </c>
      <c r="AN436" t="s">
        <v>207</v>
      </c>
      <c r="AO436">
        <v>1</v>
      </c>
      <c r="AP436" t="s">
        <v>208</v>
      </c>
      <c r="AQ436" t="s">
        <v>209</v>
      </c>
      <c r="AR436" t="s">
        <v>210</v>
      </c>
      <c r="AW436" t="s">
        <v>206</v>
      </c>
      <c r="AX436" t="s">
        <v>211</v>
      </c>
      <c r="AZ436" t="s">
        <v>209</v>
      </c>
      <c r="BI436" t="s">
        <v>212</v>
      </c>
      <c r="BJ436" t="s">
        <v>213</v>
      </c>
      <c r="BK436" t="s">
        <v>214</v>
      </c>
      <c r="BL436" t="s">
        <v>215</v>
      </c>
      <c r="BN436" t="s">
        <v>216</v>
      </c>
      <c r="BO436" t="s">
        <v>209</v>
      </c>
      <c r="BP436" t="s">
        <v>241</v>
      </c>
      <c r="BQ436">
        <v>4</v>
      </c>
      <c r="BS436" t="s">
        <v>219</v>
      </c>
      <c r="BT436" t="s">
        <v>220</v>
      </c>
      <c r="BU436" t="s">
        <v>206</v>
      </c>
      <c r="BX436" t="s">
        <v>221</v>
      </c>
      <c r="BY436" t="s">
        <v>221</v>
      </c>
      <c r="CA436" t="s">
        <v>222</v>
      </c>
      <c r="CB436" t="s">
        <v>223</v>
      </c>
      <c r="CC436" t="s">
        <v>282</v>
      </c>
      <c r="CD436" t="s">
        <v>223</v>
      </c>
      <c r="CE436" t="s">
        <v>242</v>
      </c>
      <c r="CJ436" t="s">
        <v>206</v>
      </c>
      <c r="CK436" t="s">
        <v>230</v>
      </c>
      <c r="CL436" t="s">
        <v>231</v>
      </c>
      <c r="CM436" t="s">
        <v>232</v>
      </c>
      <c r="CN436" t="s">
        <v>233</v>
      </c>
      <c r="CP436" t="s">
        <v>212</v>
      </c>
      <c r="CQ436" t="s">
        <v>212</v>
      </c>
      <c r="CR436" t="s">
        <v>212</v>
      </c>
      <c r="CS436" t="s">
        <v>212</v>
      </c>
      <c r="CY436" t="s">
        <v>212</v>
      </c>
      <c r="DB436" t="s">
        <v>234</v>
      </c>
      <c r="DE436" t="s">
        <v>212</v>
      </c>
      <c r="DF436" t="s">
        <v>212</v>
      </c>
      <c r="DG436" t="s">
        <v>235</v>
      </c>
      <c r="DH436" t="s">
        <v>212</v>
      </c>
      <c r="DJ436" t="s">
        <v>236</v>
      </c>
      <c r="DM436" t="s">
        <v>212</v>
      </c>
    </row>
    <row r="437" spans="1:117" x14ac:dyDescent="0.3">
      <c r="A437">
        <v>356911</v>
      </c>
      <c r="B437">
        <v>179402</v>
      </c>
      <c r="C437" t="str">
        <f>"120105505554"</f>
        <v>120105505554</v>
      </c>
      <c r="D437" t="s">
        <v>1199</v>
      </c>
      <c r="E437" t="s">
        <v>1370</v>
      </c>
      <c r="G437" s="1">
        <v>40913</v>
      </c>
      <c r="I437" t="s">
        <v>240</v>
      </c>
      <c r="J437" t="s">
        <v>200</v>
      </c>
      <c r="K437" t="s">
        <v>201</v>
      </c>
      <c r="R437" t="str">
        <f>"КАЗАХСТАН, АКМОЛИНСКАЯ, СТЕПНОГОРСК, 52, 613"</f>
        <v>КАЗАХСТАН, АКМОЛИНСКАЯ, СТЕПНОГОРСК, 52, 613</v>
      </c>
      <c r="S437" t="str">
        <f>"ҚАЗАҚСТАН, АҚМОЛА, СТЕПНОГОР, 52, 613"</f>
        <v>ҚАЗАҚСТАН, АҚМОЛА, СТЕПНОГОР, 52, 613</v>
      </c>
      <c r="T437" t="str">
        <f>"52, 613"</f>
        <v>52, 613</v>
      </c>
      <c r="U437" t="str">
        <f>"52, 613"</f>
        <v>52, 613</v>
      </c>
      <c r="AC437" t="str">
        <f>"2018-08-29T00:00:00"</f>
        <v>2018-08-29T00:00:00</v>
      </c>
      <c r="AD437" t="str">
        <f>"140"</f>
        <v>140</v>
      </c>
      <c r="AG437" t="s">
        <v>202</v>
      </c>
      <c r="AI437" t="s">
        <v>299</v>
      </c>
      <c r="AJ437" t="s">
        <v>348</v>
      </c>
      <c r="AK437" t="s">
        <v>253</v>
      </c>
      <c r="AL437" t="s">
        <v>206</v>
      </c>
      <c r="AN437" t="s">
        <v>254</v>
      </c>
      <c r="AO437">
        <v>1</v>
      </c>
      <c r="AP437" t="s">
        <v>208</v>
      </c>
      <c r="AQ437" t="s">
        <v>209</v>
      </c>
      <c r="AR437" t="s">
        <v>262</v>
      </c>
      <c r="AW437" t="s">
        <v>206</v>
      </c>
      <c r="AX437" t="s">
        <v>211</v>
      </c>
      <c r="AZ437" t="s">
        <v>209</v>
      </c>
      <c r="BI437" t="s">
        <v>212</v>
      </c>
      <c r="BJ437" t="s">
        <v>213</v>
      </c>
      <c r="BK437" t="s">
        <v>214</v>
      </c>
      <c r="BL437" t="s">
        <v>215</v>
      </c>
      <c r="BN437" t="s">
        <v>216</v>
      </c>
      <c r="BO437" t="s">
        <v>209</v>
      </c>
      <c r="BP437" t="s">
        <v>241</v>
      </c>
      <c r="BQ437">
        <v>4</v>
      </c>
      <c r="BS437" t="s">
        <v>219</v>
      </c>
      <c r="BT437" t="s">
        <v>220</v>
      </c>
      <c r="BU437" t="s">
        <v>206</v>
      </c>
      <c r="BX437" t="s">
        <v>221</v>
      </c>
      <c r="BY437" t="s">
        <v>221</v>
      </c>
      <c r="CA437" t="s">
        <v>222</v>
      </c>
      <c r="CB437" t="s">
        <v>223</v>
      </c>
      <c r="CC437" t="s">
        <v>222</v>
      </c>
      <c r="CD437" t="s">
        <v>223</v>
      </c>
      <c r="CE437" t="s">
        <v>242</v>
      </c>
      <c r="CJ437" t="s">
        <v>206</v>
      </c>
      <c r="CK437" t="s">
        <v>230</v>
      </c>
      <c r="CL437" t="s">
        <v>231</v>
      </c>
      <c r="CM437" t="s">
        <v>232</v>
      </c>
      <c r="CN437" t="s">
        <v>233</v>
      </c>
      <c r="CP437" t="s">
        <v>212</v>
      </c>
      <c r="CQ437" t="s">
        <v>212</v>
      </c>
      <c r="CR437" t="s">
        <v>212</v>
      </c>
      <c r="CS437" t="s">
        <v>212</v>
      </c>
      <c r="CY437" t="s">
        <v>212</v>
      </c>
      <c r="DB437" t="s">
        <v>234</v>
      </c>
      <c r="DE437" t="s">
        <v>212</v>
      </c>
      <c r="DF437" t="s">
        <v>212</v>
      </c>
      <c r="DG437" t="s">
        <v>235</v>
      </c>
      <c r="DH437" t="s">
        <v>212</v>
      </c>
      <c r="DJ437" t="s">
        <v>236</v>
      </c>
      <c r="DM437" t="s">
        <v>212</v>
      </c>
    </row>
    <row r="438" spans="1:117" x14ac:dyDescent="0.3">
      <c r="A438">
        <v>356894</v>
      </c>
      <c r="B438">
        <v>322150</v>
      </c>
      <c r="C438" t="str">
        <f>"101107602695"</f>
        <v>101107602695</v>
      </c>
      <c r="D438" t="s">
        <v>1371</v>
      </c>
      <c r="E438" t="s">
        <v>516</v>
      </c>
      <c r="F438" t="s">
        <v>1248</v>
      </c>
      <c r="G438" s="1">
        <v>40489</v>
      </c>
      <c r="I438" t="s">
        <v>199</v>
      </c>
      <c r="J438" t="s">
        <v>200</v>
      </c>
      <c r="K438" t="s">
        <v>260</v>
      </c>
      <c r="Q438" t="s">
        <v>212</v>
      </c>
      <c r="R438" t="str">
        <f>"КАЗАХСТАН, АКМОЛИНСКАЯ, СТЕПНОГОРСК, 23, 3"</f>
        <v>КАЗАХСТАН, АКМОЛИНСКАЯ, СТЕПНОГОРСК, 23, 3</v>
      </c>
      <c r="S438" t="str">
        <f>"ҚАЗАҚСТАН, АҚМОЛА, СТЕПНОГОР, 23, 3"</f>
        <v>ҚАЗАҚСТАН, АҚМОЛА, СТЕПНОГОР, 23, 3</v>
      </c>
      <c r="T438" t="str">
        <f>"23, 3"</f>
        <v>23, 3</v>
      </c>
      <c r="U438" t="str">
        <f>"23, 3"</f>
        <v>23, 3</v>
      </c>
      <c r="AC438" t="str">
        <f>"2017-08-29T00:00:00"</f>
        <v>2017-08-29T00:00:00</v>
      </c>
      <c r="AD438" t="str">
        <f>"112"</f>
        <v>112</v>
      </c>
      <c r="AG438" t="s">
        <v>202</v>
      </c>
      <c r="AI438" t="s">
        <v>274</v>
      </c>
      <c r="AJ438" t="s">
        <v>300</v>
      </c>
      <c r="AK438" t="s">
        <v>205</v>
      </c>
      <c r="AL438" t="s">
        <v>206</v>
      </c>
      <c r="AN438" t="s">
        <v>207</v>
      </c>
      <c r="AO438">
        <v>1</v>
      </c>
      <c r="AP438" t="s">
        <v>208</v>
      </c>
      <c r="AQ438" t="s">
        <v>209</v>
      </c>
      <c r="AR438" t="s">
        <v>210</v>
      </c>
      <c r="AW438" t="s">
        <v>206</v>
      </c>
      <c r="AX438" t="s">
        <v>211</v>
      </c>
      <c r="AZ438" t="s">
        <v>209</v>
      </c>
      <c r="BI438" t="s">
        <v>212</v>
      </c>
      <c r="BJ438" t="s">
        <v>213</v>
      </c>
      <c r="BK438" t="s">
        <v>214</v>
      </c>
      <c r="BL438" t="s">
        <v>215</v>
      </c>
      <c r="BN438" t="s">
        <v>281</v>
      </c>
      <c r="BO438" t="s">
        <v>209</v>
      </c>
      <c r="BP438" t="s">
        <v>241</v>
      </c>
      <c r="BQ438">
        <v>5</v>
      </c>
      <c r="BS438" t="s">
        <v>219</v>
      </c>
      <c r="BT438" t="s">
        <v>220</v>
      </c>
      <c r="BU438" t="s">
        <v>206</v>
      </c>
      <c r="BX438" t="s">
        <v>221</v>
      </c>
      <c r="BY438" t="s">
        <v>221</v>
      </c>
      <c r="CA438" t="s">
        <v>263</v>
      </c>
      <c r="CB438" t="s">
        <v>223</v>
      </c>
      <c r="CC438" t="s">
        <v>222</v>
      </c>
      <c r="CD438" t="s">
        <v>223</v>
      </c>
      <c r="CE438" t="s">
        <v>225</v>
      </c>
      <c r="CF438" t="s">
        <v>226</v>
      </c>
      <c r="CG438" t="s">
        <v>227</v>
      </c>
      <c r="CH438" t="s">
        <v>228</v>
      </c>
      <c r="CI438" t="s">
        <v>1372</v>
      </c>
      <c r="CJ438" t="s">
        <v>206</v>
      </c>
      <c r="CK438" t="s">
        <v>230</v>
      </c>
      <c r="CL438" t="s">
        <v>231</v>
      </c>
      <c r="CM438" t="s">
        <v>232</v>
      </c>
      <c r="CN438" t="s">
        <v>233</v>
      </c>
      <c r="CP438" t="s">
        <v>212</v>
      </c>
      <c r="CQ438" t="s">
        <v>212</v>
      </c>
      <c r="CR438" t="s">
        <v>212</v>
      </c>
      <c r="CS438" t="s">
        <v>212</v>
      </c>
      <c r="CY438" t="s">
        <v>212</v>
      </c>
      <c r="DB438" t="s">
        <v>234</v>
      </c>
      <c r="DE438" t="s">
        <v>212</v>
      </c>
      <c r="DF438" t="s">
        <v>212</v>
      </c>
      <c r="DG438" t="s">
        <v>235</v>
      </c>
      <c r="DH438" t="s">
        <v>212</v>
      </c>
      <c r="DJ438" t="s">
        <v>236</v>
      </c>
      <c r="DM438" t="s">
        <v>212</v>
      </c>
    </row>
    <row r="439" spans="1:117" x14ac:dyDescent="0.3">
      <c r="A439">
        <v>25939744</v>
      </c>
      <c r="B439">
        <v>74114</v>
      </c>
      <c r="C439" t="str">
        <f>"121011601817"</f>
        <v>121011601817</v>
      </c>
      <c r="D439" t="s">
        <v>428</v>
      </c>
      <c r="E439" t="s">
        <v>625</v>
      </c>
      <c r="F439" t="s">
        <v>909</v>
      </c>
      <c r="G439" s="1">
        <v>41193</v>
      </c>
      <c r="I439" t="s">
        <v>199</v>
      </c>
      <c r="J439" t="s">
        <v>200</v>
      </c>
      <c r="K439" t="s">
        <v>201</v>
      </c>
      <c r="Q439" t="s">
        <v>212</v>
      </c>
      <c r="R439" t="str">
        <f>"КАЗАХСТАН, АКМОЛИНСКАЯ, РАЙОН БИРЖАН САЛ, Степняк, 32, 18"</f>
        <v>КАЗАХСТАН, АКМОЛИНСКАЯ, РАЙОН БИРЖАН САЛ, Степняк, 32, 18</v>
      </c>
      <c r="S439" t="str">
        <f>"ҚАЗАҚСТАН, АҚМОЛА, БІРЖАН САЛ АУДАНЫ, Степняк, 32, 18"</f>
        <v>ҚАЗАҚСТАН, АҚМОЛА, БІРЖАН САЛ АУДАНЫ, Степняк, 32, 18</v>
      </c>
      <c r="T439" t="str">
        <f>"Степняк, 32, 18"</f>
        <v>Степняк, 32, 18</v>
      </c>
      <c r="U439" t="str">
        <f>"Степняк, 32, 18"</f>
        <v>Степняк, 32, 18</v>
      </c>
      <c r="AC439" t="str">
        <f>"2023-08-31T00:00:00"</f>
        <v>2023-08-31T00:00:00</v>
      </c>
      <c r="AD439" t="str">
        <f>"70"</f>
        <v>70</v>
      </c>
      <c r="AG439" t="s">
        <v>202</v>
      </c>
      <c r="AI439" t="s">
        <v>299</v>
      </c>
      <c r="AJ439" t="s">
        <v>419</v>
      </c>
      <c r="AK439" t="s">
        <v>253</v>
      </c>
      <c r="AL439" t="s">
        <v>206</v>
      </c>
      <c r="AN439" t="s">
        <v>254</v>
      </c>
      <c r="AO439">
        <v>1</v>
      </c>
      <c r="AP439" t="s">
        <v>208</v>
      </c>
      <c r="AQ439" t="s">
        <v>209</v>
      </c>
      <c r="AR439" t="s">
        <v>210</v>
      </c>
      <c r="AW439" t="s">
        <v>206</v>
      </c>
      <c r="AX439" t="s">
        <v>211</v>
      </c>
      <c r="AZ439" t="s">
        <v>209</v>
      </c>
      <c r="BI439" t="s">
        <v>212</v>
      </c>
      <c r="BJ439" t="s">
        <v>213</v>
      </c>
      <c r="BK439" t="s">
        <v>214</v>
      </c>
      <c r="BL439" t="s">
        <v>215</v>
      </c>
      <c r="BN439" t="s">
        <v>216</v>
      </c>
      <c r="BO439" t="s">
        <v>209</v>
      </c>
      <c r="BP439" t="s">
        <v>241</v>
      </c>
      <c r="BQ439">
        <v>4</v>
      </c>
      <c r="BS439" t="s">
        <v>219</v>
      </c>
      <c r="BT439" t="s">
        <v>220</v>
      </c>
      <c r="BU439" t="s">
        <v>206</v>
      </c>
      <c r="CA439" t="s">
        <v>287</v>
      </c>
      <c r="CC439" t="s">
        <v>282</v>
      </c>
      <c r="CD439" t="s">
        <v>223</v>
      </c>
      <c r="CE439" t="s">
        <v>242</v>
      </c>
      <c r="CJ439" t="s">
        <v>206</v>
      </c>
      <c r="CK439" t="s">
        <v>230</v>
      </c>
      <c r="CL439" t="s">
        <v>231</v>
      </c>
      <c r="CM439" t="s">
        <v>232</v>
      </c>
      <c r="CN439" t="s">
        <v>233</v>
      </c>
      <c r="CP439" t="s">
        <v>212</v>
      </c>
      <c r="CQ439" t="s">
        <v>212</v>
      </c>
      <c r="CR439" t="s">
        <v>212</v>
      </c>
      <c r="CS439" t="s">
        <v>212</v>
      </c>
      <c r="CY439" t="s">
        <v>212</v>
      </c>
      <c r="DB439" t="s">
        <v>234</v>
      </c>
      <c r="DE439" t="s">
        <v>212</v>
      </c>
      <c r="DF439" t="s">
        <v>212</v>
      </c>
      <c r="DG439" t="s">
        <v>235</v>
      </c>
      <c r="DH439" t="s">
        <v>212</v>
      </c>
      <c r="DJ439" t="s">
        <v>421</v>
      </c>
      <c r="DK439" t="s">
        <v>707</v>
      </c>
      <c r="DL439" t="s">
        <v>423</v>
      </c>
      <c r="DM439" t="s">
        <v>206</v>
      </c>
    </row>
    <row r="440" spans="1:117" x14ac:dyDescent="0.3">
      <c r="A440">
        <v>356802</v>
      </c>
      <c r="B440">
        <v>322065</v>
      </c>
      <c r="C440" t="str">
        <f>"101229000068"</f>
        <v>101229000068</v>
      </c>
      <c r="D440" t="s">
        <v>1373</v>
      </c>
      <c r="E440" t="s">
        <v>258</v>
      </c>
      <c r="F440" t="s">
        <v>794</v>
      </c>
      <c r="G440" s="1">
        <v>40541</v>
      </c>
      <c r="I440" t="s">
        <v>240</v>
      </c>
      <c r="J440" t="s">
        <v>721</v>
      </c>
      <c r="K440" t="s">
        <v>260</v>
      </c>
      <c r="L440" t="s">
        <v>212</v>
      </c>
      <c r="Q440" t="s">
        <v>212</v>
      </c>
      <c r="R440" t="str">
        <f>"КАЗАХСТАН, АКМОЛИНСКАЯ, СТЕПНОГОРСК, 45, 6"</f>
        <v>КАЗАХСТАН, АКМОЛИНСКАЯ, СТЕПНОГОРСК, 45, 6</v>
      </c>
      <c r="S440" t="str">
        <f>"ҚАЗАҚСТАН, АҚМОЛА, СТЕПНОГОР, 45, 6"</f>
        <v>ҚАЗАҚСТАН, АҚМОЛА, СТЕПНОГОР, 45, 6</v>
      </c>
      <c r="T440" t="str">
        <f>"45, 6"</f>
        <v>45, 6</v>
      </c>
      <c r="U440" t="str">
        <f>"45, 6"</f>
        <v>45, 6</v>
      </c>
      <c r="AC440" t="str">
        <f>"2017-08-29T00:00:00"</f>
        <v>2017-08-29T00:00:00</v>
      </c>
      <c r="AD440" t="str">
        <f>"112"</f>
        <v>112</v>
      </c>
      <c r="AG440" t="s">
        <v>202</v>
      </c>
      <c r="AI440" t="s">
        <v>274</v>
      </c>
      <c r="AJ440" t="s">
        <v>300</v>
      </c>
      <c r="AK440" t="s">
        <v>205</v>
      </c>
      <c r="AL440" t="s">
        <v>206</v>
      </c>
      <c r="AN440" t="s">
        <v>207</v>
      </c>
      <c r="AO440">
        <v>1</v>
      </c>
      <c r="AP440" t="s">
        <v>208</v>
      </c>
      <c r="AQ440" t="s">
        <v>209</v>
      </c>
      <c r="AR440" t="s">
        <v>210</v>
      </c>
      <c r="AW440" t="s">
        <v>206</v>
      </c>
      <c r="AX440" t="s">
        <v>211</v>
      </c>
      <c r="AZ440" t="s">
        <v>209</v>
      </c>
      <c r="BI440" t="s">
        <v>212</v>
      </c>
      <c r="BJ440" t="s">
        <v>213</v>
      </c>
      <c r="BK440" t="s">
        <v>214</v>
      </c>
      <c r="BL440" t="s">
        <v>215</v>
      </c>
      <c r="BN440" t="s">
        <v>216</v>
      </c>
      <c r="BO440" t="s">
        <v>209</v>
      </c>
      <c r="BP440" t="s">
        <v>241</v>
      </c>
      <c r="BQ440">
        <v>4</v>
      </c>
      <c r="BS440" t="s">
        <v>219</v>
      </c>
      <c r="BT440" t="s">
        <v>220</v>
      </c>
      <c r="BU440" t="s">
        <v>206</v>
      </c>
      <c r="BX440" t="s">
        <v>221</v>
      </c>
      <c r="BY440" t="s">
        <v>221</v>
      </c>
      <c r="CA440" t="s">
        <v>287</v>
      </c>
      <c r="CC440" t="s">
        <v>256</v>
      </c>
      <c r="CD440" t="s">
        <v>223</v>
      </c>
      <c r="CE440" t="s">
        <v>242</v>
      </c>
      <c r="CJ440" t="s">
        <v>206</v>
      </c>
      <c r="CK440" t="s">
        <v>230</v>
      </c>
      <c r="CL440" t="s">
        <v>231</v>
      </c>
      <c r="CM440" t="s">
        <v>232</v>
      </c>
      <c r="CN440" t="s">
        <v>233</v>
      </c>
      <c r="CP440" t="s">
        <v>212</v>
      </c>
      <c r="CQ440" t="s">
        <v>212</v>
      </c>
      <c r="CR440" t="s">
        <v>212</v>
      </c>
      <c r="CS440" t="s">
        <v>212</v>
      </c>
      <c r="CY440" t="s">
        <v>212</v>
      </c>
      <c r="DB440" t="s">
        <v>234</v>
      </c>
      <c r="DE440" t="s">
        <v>212</v>
      </c>
      <c r="DF440" t="s">
        <v>212</v>
      </c>
      <c r="DG440" t="s">
        <v>235</v>
      </c>
      <c r="DH440" t="s">
        <v>212</v>
      </c>
      <c r="DJ440" t="s">
        <v>236</v>
      </c>
      <c r="DM440" t="s">
        <v>212</v>
      </c>
    </row>
    <row r="441" spans="1:117" x14ac:dyDescent="0.3">
      <c r="A441">
        <v>356740</v>
      </c>
      <c r="B441">
        <v>322006</v>
      </c>
      <c r="C441" t="str">
        <f>"111109503312"</f>
        <v>111109503312</v>
      </c>
      <c r="D441" t="s">
        <v>1374</v>
      </c>
      <c r="E441" t="s">
        <v>1098</v>
      </c>
      <c r="F441" t="s">
        <v>1017</v>
      </c>
      <c r="G441" s="1">
        <v>40856</v>
      </c>
      <c r="I441" t="s">
        <v>240</v>
      </c>
      <c r="J441" t="s">
        <v>200</v>
      </c>
      <c r="K441" t="s">
        <v>201</v>
      </c>
      <c r="R441" t="str">
        <f>"КАЗАХСТАН, АКМОЛИНСКАЯ, СТЕПНОГОРСК, 22, 39"</f>
        <v>КАЗАХСТАН, АКМОЛИНСКАЯ, СТЕПНОГОРСК, 22, 39</v>
      </c>
      <c r="S441" t="str">
        <f>"ҚАЗАҚСТАН, АҚМОЛА, СТЕПНОГОР, 22, 39"</f>
        <v>ҚАЗАҚСТАН, АҚМОЛА, СТЕПНОГОР, 22, 39</v>
      </c>
      <c r="T441" t="str">
        <f>"22, 39"</f>
        <v>22, 39</v>
      </c>
      <c r="U441" t="str">
        <f>"22, 39"</f>
        <v>22, 39</v>
      </c>
      <c r="AC441" t="str">
        <f>"2018-08-29T00:00:00"</f>
        <v>2018-08-29T00:00:00</v>
      </c>
      <c r="AD441" t="str">
        <f>"140"</f>
        <v>140</v>
      </c>
      <c r="AG441" t="s">
        <v>202</v>
      </c>
      <c r="AI441" t="s">
        <v>274</v>
      </c>
      <c r="AJ441" t="s">
        <v>348</v>
      </c>
      <c r="AK441" t="s">
        <v>261</v>
      </c>
      <c r="AL441" t="s">
        <v>206</v>
      </c>
      <c r="AN441" t="s">
        <v>207</v>
      </c>
      <c r="AO441">
        <v>1</v>
      </c>
      <c r="AP441" t="s">
        <v>208</v>
      </c>
      <c r="AQ441" t="s">
        <v>209</v>
      </c>
      <c r="AR441" t="s">
        <v>262</v>
      </c>
      <c r="AW441" t="s">
        <v>206</v>
      </c>
      <c r="AX441" t="s">
        <v>211</v>
      </c>
      <c r="AZ441" t="s">
        <v>209</v>
      </c>
      <c r="BI441" t="s">
        <v>212</v>
      </c>
      <c r="BJ441" t="s">
        <v>213</v>
      </c>
      <c r="BK441" t="s">
        <v>214</v>
      </c>
      <c r="BL441" t="s">
        <v>215</v>
      </c>
      <c r="BN441" t="s">
        <v>216</v>
      </c>
      <c r="BO441" t="s">
        <v>209</v>
      </c>
      <c r="BP441" t="s">
        <v>241</v>
      </c>
      <c r="BQ441">
        <v>4</v>
      </c>
      <c r="BS441" t="s">
        <v>219</v>
      </c>
      <c r="BT441" t="s">
        <v>220</v>
      </c>
      <c r="BU441" t="s">
        <v>206</v>
      </c>
      <c r="BX441" t="s">
        <v>221</v>
      </c>
      <c r="BY441" t="s">
        <v>221</v>
      </c>
      <c r="CA441" t="s">
        <v>222</v>
      </c>
      <c r="CB441" t="s">
        <v>223</v>
      </c>
      <c r="CC441" t="s">
        <v>222</v>
      </c>
      <c r="CD441" t="s">
        <v>223</v>
      </c>
      <c r="CE441" t="s">
        <v>225</v>
      </c>
      <c r="CF441" t="s">
        <v>226</v>
      </c>
      <c r="CG441" t="s">
        <v>227</v>
      </c>
      <c r="CH441" t="s">
        <v>209</v>
      </c>
      <c r="CI441" t="s">
        <v>1375</v>
      </c>
      <c r="CJ441" t="s">
        <v>206</v>
      </c>
      <c r="CK441" t="s">
        <v>230</v>
      </c>
      <c r="CL441" t="s">
        <v>231</v>
      </c>
      <c r="CM441" t="s">
        <v>232</v>
      </c>
      <c r="CN441" t="s">
        <v>233</v>
      </c>
      <c r="CP441" t="s">
        <v>212</v>
      </c>
      <c r="CQ441" t="s">
        <v>212</v>
      </c>
      <c r="CR441" t="s">
        <v>212</v>
      </c>
      <c r="CS441" t="s">
        <v>212</v>
      </c>
      <c r="CY441" t="s">
        <v>212</v>
      </c>
      <c r="DB441" t="s">
        <v>234</v>
      </c>
      <c r="DE441" t="s">
        <v>212</v>
      </c>
      <c r="DF441" t="s">
        <v>212</v>
      </c>
      <c r="DG441" t="s">
        <v>235</v>
      </c>
      <c r="DH441" t="s">
        <v>212</v>
      </c>
      <c r="DJ441" t="s">
        <v>236</v>
      </c>
      <c r="DM441" t="s">
        <v>212</v>
      </c>
    </row>
    <row r="442" spans="1:117" x14ac:dyDescent="0.3">
      <c r="A442">
        <v>25953520</v>
      </c>
      <c r="B442">
        <v>8860707</v>
      </c>
      <c r="C442" t="str">
        <f>"170721501758"</f>
        <v>170721501758</v>
      </c>
      <c r="D442" t="s">
        <v>1376</v>
      </c>
      <c r="E442" t="s">
        <v>1377</v>
      </c>
      <c r="F442" t="s">
        <v>1378</v>
      </c>
      <c r="G442" s="1">
        <v>42937</v>
      </c>
      <c r="I442" t="s">
        <v>240</v>
      </c>
      <c r="J442" t="s">
        <v>200</v>
      </c>
      <c r="K442" t="s">
        <v>201</v>
      </c>
      <c r="Q442" t="s">
        <v>212</v>
      </c>
      <c r="R442" t="str">
        <f>"КАЗАХСТАН, АКМОЛИНСКАЯ, СТЕПНОГОРСК, СТЕПНОГОРСК, 35, 4"</f>
        <v>КАЗАХСТАН, АКМОЛИНСКАЯ, СТЕПНОГОРСК, СТЕПНОГОРСК, 35, 4</v>
      </c>
      <c r="S442" t="str">
        <f>"ҚАЗАҚСТАН, АҚМОЛА, СТЕПНОГОР, СТЕПНОГОРСК, 35, 4"</f>
        <v>ҚАЗАҚСТАН, АҚМОЛА, СТЕПНОГОР, СТЕПНОГОРСК, 35, 4</v>
      </c>
      <c r="T442" t="str">
        <f>"СТЕПНОГОРСК, 35, 4"</f>
        <v>СТЕПНОГОРСК, 35, 4</v>
      </c>
      <c r="U442" t="str">
        <f>"СТЕПНОГОРСК, 35, 4"</f>
        <v>СТЕПНОГОРСК, 35, 4</v>
      </c>
      <c r="AC442" t="str">
        <f>"2023-08-25T00:00:00"</f>
        <v>2023-08-25T00:00:00</v>
      </c>
      <c r="AD442" t="str">
        <f>"202"</f>
        <v>202</v>
      </c>
      <c r="AG442" t="s">
        <v>202</v>
      </c>
      <c r="AI442" t="s">
        <v>299</v>
      </c>
      <c r="AJ442" t="s">
        <v>1298</v>
      </c>
      <c r="AK442" t="s">
        <v>253</v>
      </c>
      <c r="AL442" t="s">
        <v>206</v>
      </c>
      <c r="AN442" t="s">
        <v>254</v>
      </c>
      <c r="AO442">
        <v>2</v>
      </c>
      <c r="AP442" t="s">
        <v>208</v>
      </c>
      <c r="AQ442" t="s">
        <v>209</v>
      </c>
      <c r="AR442" t="s">
        <v>502</v>
      </c>
      <c r="AW442" t="s">
        <v>212</v>
      </c>
      <c r="AZ442" t="s">
        <v>209</v>
      </c>
      <c r="BI442" t="s">
        <v>212</v>
      </c>
      <c r="BJ442" t="s">
        <v>213</v>
      </c>
      <c r="BK442" t="s">
        <v>214</v>
      </c>
      <c r="BL442" t="s">
        <v>215</v>
      </c>
      <c r="BN442" t="s">
        <v>661</v>
      </c>
      <c r="BO442" t="s">
        <v>209</v>
      </c>
      <c r="BS442" t="s">
        <v>220</v>
      </c>
      <c r="CA442" t="s">
        <v>287</v>
      </c>
      <c r="CC442" t="s">
        <v>209</v>
      </c>
      <c r="CE442" t="s">
        <v>242</v>
      </c>
      <c r="CJ442" t="s">
        <v>206</v>
      </c>
      <c r="CK442" t="s">
        <v>230</v>
      </c>
      <c r="CL442" t="s">
        <v>231</v>
      </c>
      <c r="CM442" t="s">
        <v>232</v>
      </c>
      <c r="CN442" t="s">
        <v>233</v>
      </c>
      <c r="CP442" t="s">
        <v>212</v>
      </c>
      <c r="CQ442" t="s">
        <v>212</v>
      </c>
      <c r="CR442" t="s">
        <v>212</v>
      </c>
      <c r="CS442" t="s">
        <v>212</v>
      </c>
      <c r="CY442" t="s">
        <v>212</v>
      </c>
      <c r="DB442" t="s">
        <v>234</v>
      </c>
      <c r="DE442" t="s">
        <v>212</v>
      </c>
      <c r="DF442" t="s">
        <v>212</v>
      </c>
      <c r="DG442" t="s">
        <v>235</v>
      </c>
      <c r="DH442" t="s">
        <v>212</v>
      </c>
      <c r="DJ442" t="s">
        <v>236</v>
      </c>
      <c r="DM442" t="s">
        <v>212</v>
      </c>
    </row>
    <row r="443" spans="1:117" x14ac:dyDescent="0.3">
      <c r="A443">
        <v>25953610</v>
      </c>
      <c r="B443">
        <v>11753022</v>
      </c>
      <c r="C443" t="str">
        <f>"171017500844"</f>
        <v>171017500844</v>
      </c>
      <c r="D443" t="s">
        <v>1379</v>
      </c>
      <c r="E443" t="s">
        <v>1380</v>
      </c>
      <c r="F443" t="s">
        <v>1381</v>
      </c>
      <c r="G443" s="1">
        <v>43025</v>
      </c>
      <c r="I443" t="s">
        <v>240</v>
      </c>
      <c r="J443" t="s">
        <v>200</v>
      </c>
      <c r="K443" t="s">
        <v>201</v>
      </c>
      <c r="Q443" t="s">
        <v>212</v>
      </c>
      <c r="R443" t="str">
        <f>"КАЗАХСТАН, АКМОЛИНСКАЯ, СТЕПНОГОРСК, Бестобе, 8"</f>
        <v>КАЗАХСТАН, АКМОЛИНСКАЯ, СТЕПНОГОРСК, Бестобе, 8</v>
      </c>
      <c r="S443" t="str">
        <f>"ҚАЗАҚСТАН, АҚМОЛА, СТЕПНОГОР, Бестобе, 8"</f>
        <v>ҚАЗАҚСТАН, АҚМОЛА, СТЕПНОГОР, Бестобе, 8</v>
      </c>
      <c r="T443" t="str">
        <f>"Бестобе, 8"</f>
        <v>Бестобе, 8</v>
      </c>
      <c r="U443" t="str">
        <f>"Бестобе, 8"</f>
        <v>Бестобе, 8</v>
      </c>
      <c r="AC443" t="str">
        <f>"2023-08-25T00:00:00"</f>
        <v>2023-08-25T00:00:00</v>
      </c>
      <c r="AD443" t="str">
        <f>"202"</f>
        <v>202</v>
      </c>
      <c r="AG443" t="s">
        <v>202</v>
      </c>
      <c r="AI443" t="s">
        <v>299</v>
      </c>
      <c r="AJ443" t="s">
        <v>1298</v>
      </c>
      <c r="AK443" t="s">
        <v>253</v>
      </c>
      <c r="AL443" t="s">
        <v>206</v>
      </c>
      <c r="AN443" t="s">
        <v>254</v>
      </c>
      <c r="AO443">
        <v>2</v>
      </c>
      <c r="AP443" t="s">
        <v>208</v>
      </c>
      <c r="AQ443" t="s">
        <v>209</v>
      </c>
      <c r="AR443" t="s">
        <v>502</v>
      </c>
      <c r="AW443" t="s">
        <v>212</v>
      </c>
      <c r="AZ443" t="s">
        <v>209</v>
      </c>
      <c r="BI443" t="s">
        <v>212</v>
      </c>
      <c r="BJ443" t="s">
        <v>213</v>
      </c>
      <c r="BK443" t="s">
        <v>214</v>
      </c>
      <c r="BL443" t="s">
        <v>215</v>
      </c>
      <c r="BN443" t="s">
        <v>661</v>
      </c>
      <c r="BO443" t="s">
        <v>209</v>
      </c>
      <c r="BS443" t="s">
        <v>220</v>
      </c>
      <c r="CA443" t="s">
        <v>287</v>
      </c>
      <c r="CC443" t="s">
        <v>209</v>
      </c>
      <c r="CE443" t="s">
        <v>242</v>
      </c>
      <c r="CJ443" t="s">
        <v>206</v>
      </c>
      <c r="CK443" t="s">
        <v>230</v>
      </c>
      <c r="CL443" t="s">
        <v>231</v>
      </c>
      <c r="CM443" t="s">
        <v>232</v>
      </c>
      <c r="CN443" t="s">
        <v>233</v>
      </c>
      <c r="CP443" t="s">
        <v>212</v>
      </c>
      <c r="CQ443" t="s">
        <v>212</v>
      </c>
      <c r="CR443" t="s">
        <v>212</v>
      </c>
      <c r="CS443" t="s">
        <v>212</v>
      </c>
      <c r="CY443" t="s">
        <v>212</v>
      </c>
      <c r="DB443" t="s">
        <v>234</v>
      </c>
      <c r="DE443" t="s">
        <v>212</v>
      </c>
      <c r="DF443" t="s">
        <v>212</v>
      </c>
      <c r="DG443" t="s">
        <v>235</v>
      </c>
      <c r="DH443" t="s">
        <v>212</v>
      </c>
      <c r="DJ443" t="s">
        <v>236</v>
      </c>
      <c r="DM443" t="s">
        <v>212</v>
      </c>
    </row>
    <row r="444" spans="1:117" x14ac:dyDescent="0.3">
      <c r="A444">
        <v>25953660</v>
      </c>
      <c r="B444">
        <v>13390475</v>
      </c>
      <c r="C444" t="str">
        <f>"171128500858"</f>
        <v>171128500858</v>
      </c>
      <c r="D444" t="s">
        <v>1382</v>
      </c>
      <c r="E444" t="s">
        <v>1383</v>
      </c>
      <c r="F444" t="s">
        <v>1384</v>
      </c>
      <c r="G444" s="1">
        <v>43067</v>
      </c>
      <c r="I444" t="s">
        <v>240</v>
      </c>
      <c r="J444" t="s">
        <v>200</v>
      </c>
      <c r="K444" t="s">
        <v>201</v>
      </c>
      <c r="Q444" t="s">
        <v>212</v>
      </c>
      <c r="R444" t="str">
        <f>"КАЗАХСТАН, АКМОЛИНСКАЯ, СТЕПНОГОРСК, Бестобе, 92"</f>
        <v>КАЗАХСТАН, АКМОЛИНСКАЯ, СТЕПНОГОРСК, Бестобе, 92</v>
      </c>
      <c r="S444" t="str">
        <f>"ҚАЗАҚСТАН, АҚМОЛА, СТЕПНОГОР, Бестобе, 92"</f>
        <v>ҚАЗАҚСТАН, АҚМОЛА, СТЕПНОГОР, Бестобе, 92</v>
      </c>
      <c r="T444" t="str">
        <f>"Бестобе, 92"</f>
        <v>Бестобе, 92</v>
      </c>
      <c r="U444" t="str">
        <f>"Бестобе, 92"</f>
        <v>Бестобе, 92</v>
      </c>
      <c r="AC444" t="str">
        <f>"2023-08-25T00:00:00"</f>
        <v>2023-08-25T00:00:00</v>
      </c>
      <c r="AD444" t="str">
        <f>"202"</f>
        <v>202</v>
      </c>
      <c r="AG444" t="s">
        <v>202</v>
      </c>
      <c r="AI444" t="s">
        <v>274</v>
      </c>
      <c r="AJ444" t="s">
        <v>1298</v>
      </c>
      <c r="AK444" t="s">
        <v>253</v>
      </c>
      <c r="AL444" t="s">
        <v>206</v>
      </c>
      <c r="AN444" t="s">
        <v>254</v>
      </c>
      <c r="AO444">
        <v>2</v>
      </c>
      <c r="AP444" t="s">
        <v>208</v>
      </c>
      <c r="AQ444" t="s">
        <v>209</v>
      </c>
      <c r="AR444" t="s">
        <v>502</v>
      </c>
      <c r="AW444" t="s">
        <v>212</v>
      </c>
      <c r="AZ444" t="s">
        <v>209</v>
      </c>
      <c r="BI444" t="s">
        <v>212</v>
      </c>
      <c r="BJ444" t="s">
        <v>213</v>
      </c>
      <c r="BK444" t="s">
        <v>214</v>
      </c>
      <c r="BL444" t="s">
        <v>215</v>
      </c>
      <c r="BN444" t="s">
        <v>661</v>
      </c>
      <c r="BO444" t="s">
        <v>209</v>
      </c>
      <c r="BS444" t="s">
        <v>220</v>
      </c>
      <c r="CA444" t="s">
        <v>287</v>
      </c>
      <c r="CC444" t="s">
        <v>209</v>
      </c>
      <c r="CE444" t="s">
        <v>242</v>
      </c>
      <c r="CJ444" t="s">
        <v>206</v>
      </c>
      <c r="CK444" t="s">
        <v>230</v>
      </c>
      <c r="CL444" t="s">
        <v>231</v>
      </c>
      <c r="CM444" t="s">
        <v>232</v>
      </c>
      <c r="CN444" t="s">
        <v>233</v>
      </c>
      <c r="CP444" t="s">
        <v>212</v>
      </c>
      <c r="CQ444" t="s">
        <v>212</v>
      </c>
      <c r="CR444" t="s">
        <v>212</v>
      </c>
      <c r="CS444" t="s">
        <v>212</v>
      </c>
      <c r="CY444" t="s">
        <v>212</v>
      </c>
      <c r="DB444" t="s">
        <v>234</v>
      </c>
      <c r="DE444" t="s">
        <v>212</v>
      </c>
      <c r="DF444" t="s">
        <v>212</v>
      </c>
      <c r="DG444" t="s">
        <v>235</v>
      </c>
      <c r="DH444" t="s">
        <v>212</v>
      </c>
      <c r="DJ444" t="s">
        <v>236</v>
      </c>
      <c r="DM444" t="s">
        <v>212</v>
      </c>
    </row>
    <row r="445" spans="1:117" x14ac:dyDescent="0.3">
      <c r="A445">
        <v>25953737</v>
      </c>
      <c r="B445">
        <v>11290680</v>
      </c>
      <c r="C445" t="str">
        <f>"170625503821"</f>
        <v>170625503821</v>
      </c>
      <c r="D445" t="s">
        <v>1385</v>
      </c>
      <c r="E445" t="s">
        <v>1386</v>
      </c>
      <c r="F445" t="s">
        <v>1387</v>
      </c>
      <c r="G445" s="1">
        <v>42911</v>
      </c>
      <c r="I445" t="s">
        <v>240</v>
      </c>
      <c r="J445" t="s">
        <v>200</v>
      </c>
      <c r="K445" t="s">
        <v>201</v>
      </c>
      <c r="Q445" t="s">
        <v>212</v>
      </c>
      <c r="R445" t="str">
        <f>"КАЗАХСТАН, ПАВЛОДАРСКАЯ, АКТОГАЙСКИЙ РАЙОН, Актогайский, Актогай, 65"</f>
        <v>КАЗАХСТАН, ПАВЛОДАРСКАЯ, АКТОГАЙСКИЙ РАЙОН, Актогайский, Актогай, 65</v>
      </c>
      <c r="S445" t="str">
        <f>"ҚАЗАҚСТАН, ПАВЛОДАР, АҚТОҒАЙ АУДАНЫ, Актогайский, Актогай, 65"</f>
        <v>ҚАЗАҚСТАН, ПАВЛОДАР, АҚТОҒАЙ АУДАНЫ, Актогайский, Актогай, 65</v>
      </c>
      <c r="T445" t="str">
        <f>"Актогайский, Актогай, 65"</f>
        <v>Актогайский, Актогай, 65</v>
      </c>
      <c r="U445" t="str">
        <f>"Актогайский, Актогай, 65"</f>
        <v>Актогайский, Актогай, 65</v>
      </c>
      <c r="AC445" t="str">
        <f>"2023-08-25T00:00:00"</f>
        <v>2023-08-25T00:00:00</v>
      </c>
      <c r="AD445" t="str">
        <f>"202"</f>
        <v>202</v>
      </c>
      <c r="AG445" t="s">
        <v>202</v>
      </c>
      <c r="AI445" t="s">
        <v>299</v>
      </c>
      <c r="AJ445" t="s">
        <v>1298</v>
      </c>
      <c r="AK445" t="s">
        <v>253</v>
      </c>
      <c r="AL445" t="s">
        <v>206</v>
      </c>
      <c r="AN445" t="s">
        <v>254</v>
      </c>
      <c r="AO445">
        <v>2</v>
      </c>
      <c r="AP445" t="s">
        <v>208</v>
      </c>
      <c r="AQ445" t="s">
        <v>209</v>
      </c>
      <c r="AR445" t="s">
        <v>502</v>
      </c>
      <c r="AW445" t="s">
        <v>212</v>
      </c>
      <c r="AZ445" t="s">
        <v>209</v>
      </c>
      <c r="BI445" t="s">
        <v>212</v>
      </c>
      <c r="BJ445" t="s">
        <v>213</v>
      </c>
      <c r="BK445" t="s">
        <v>214</v>
      </c>
      <c r="BL445" t="s">
        <v>215</v>
      </c>
      <c r="BN445" t="s">
        <v>661</v>
      </c>
      <c r="BO445" t="s">
        <v>209</v>
      </c>
      <c r="BS445" t="s">
        <v>220</v>
      </c>
      <c r="CA445" t="s">
        <v>287</v>
      </c>
      <c r="CC445" t="s">
        <v>209</v>
      </c>
      <c r="CE445" t="s">
        <v>242</v>
      </c>
      <c r="CJ445" t="s">
        <v>206</v>
      </c>
      <c r="CK445" t="s">
        <v>230</v>
      </c>
      <c r="CL445" t="s">
        <v>231</v>
      </c>
      <c r="CM445" t="s">
        <v>232</v>
      </c>
      <c r="CN445" t="s">
        <v>233</v>
      </c>
      <c r="CP445" t="s">
        <v>212</v>
      </c>
      <c r="CQ445" t="s">
        <v>212</v>
      </c>
      <c r="CR445" t="s">
        <v>212</v>
      </c>
      <c r="CS445" t="s">
        <v>212</v>
      </c>
      <c r="CY445" t="s">
        <v>212</v>
      </c>
      <c r="DB445" t="s">
        <v>234</v>
      </c>
      <c r="DE445" t="s">
        <v>212</v>
      </c>
      <c r="DF445" t="s">
        <v>212</v>
      </c>
      <c r="DG445" t="s">
        <v>235</v>
      </c>
      <c r="DH445" t="s">
        <v>212</v>
      </c>
      <c r="DJ445" t="s">
        <v>236</v>
      </c>
      <c r="DM445" t="s">
        <v>212</v>
      </c>
    </row>
    <row r="446" spans="1:117" x14ac:dyDescent="0.3">
      <c r="A446">
        <v>356711</v>
      </c>
      <c r="B446">
        <v>321977</v>
      </c>
      <c r="C446" t="str">
        <f>"120131601044"</f>
        <v>120131601044</v>
      </c>
      <c r="D446" t="s">
        <v>1388</v>
      </c>
      <c r="E446" t="s">
        <v>1389</v>
      </c>
      <c r="F446" t="s">
        <v>406</v>
      </c>
      <c r="G446" s="1">
        <v>40939</v>
      </c>
      <c r="I446" t="s">
        <v>199</v>
      </c>
      <c r="J446" t="s">
        <v>200</v>
      </c>
      <c r="K446" t="s">
        <v>260</v>
      </c>
      <c r="R446" t="str">
        <f>"КАЗАХСТАН, АКМОЛИНСКАЯ, СТЕПНОГОРСК, 15, 177"</f>
        <v>КАЗАХСТАН, АКМОЛИНСКАЯ, СТЕПНОГОРСК, 15, 177</v>
      </c>
      <c r="S446" t="str">
        <f>"ҚАЗАҚСТАН, АҚМОЛА, СТЕПНОГОР, 15, 177"</f>
        <v>ҚАЗАҚСТАН, АҚМОЛА, СТЕПНОГОР, 15, 177</v>
      </c>
      <c r="T446" t="str">
        <f>"15, 177"</f>
        <v>15, 177</v>
      </c>
      <c r="U446" t="str">
        <f>"15, 177"</f>
        <v>15, 177</v>
      </c>
      <c r="AC446" t="str">
        <f>"2018-08-29T00:00:00"</f>
        <v>2018-08-29T00:00:00</v>
      </c>
      <c r="AD446" t="str">
        <f>"140"</f>
        <v>140</v>
      </c>
      <c r="AG446" t="s">
        <v>202</v>
      </c>
      <c r="AI446" t="s">
        <v>274</v>
      </c>
      <c r="AJ446" t="s">
        <v>348</v>
      </c>
      <c r="AK446" t="s">
        <v>261</v>
      </c>
      <c r="AL446" t="s">
        <v>206</v>
      </c>
      <c r="AN446" t="s">
        <v>207</v>
      </c>
      <c r="AO446">
        <v>1</v>
      </c>
      <c r="AP446" t="s">
        <v>208</v>
      </c>
      <c r="AQ446" t="s">
        <v>209</v>
      </c>
      <c r="AR446" t="s">
        <v>307</v>
      </c>
      <c r="AW446" t="s">
        <v>206</v>
      </c>
      <c r="AX446" t="s">
        <v>211</v>
      </c>
      <c r="AZ446" t="s">
        <v>209</v>
      </c>
      <c r="BI446" t="s">
        <v>212</v>
      </c>
      <c r="BJ446" t="s">
        <v>213</v>
      </c>
      <c r="BK446" t="s">
        <v>214</v>
      </c>
      <c r="BL446" t="s">
        <v>215</v>
      </c>
      <c r="BN446" t="s">
        <v>216</v>
      </c>
      <c r="BO446" t="s">
        <v>209</v>
      </c>
      <c r="BP446" t="s">
        <v>415</v>
      </c>
      <c r="BQ446" t="s">
        <v>673</v>
      </c>
      <c r="BS446" t="s">
        <v>219</v>
      </c>
      <c r="BT446" t="s">
        <v>220</v>
      </c>
      <c r="BU446" t="s">
        <v>206</v>
      </c>
      <c r="BX446" t="s">
        <v>221</v>
      </c>
      <c r="BY446" t="s">
        <v>221</v>
      </c>
      <c r="CA446" t="s">
        <v>222</v>
      </c>
      <c r="CB446" t="s">
        <v>223</v>
      </c>
      <c r="CC446" t="s">
        <v>222</v>
      </c>
      <c r="CD446" t="s">
        <v>223</v>
      </c>
      <c r="CE446" t="s">
        <v>225</v>
      </c>
      <c r="CF446" t="s">
        <v>226</v>
      </c>
      <c r="CG446" t="s">
        <v>227</v>
      </c>
      <c r="CH446" t="s">
        <v>228</v>
      </c>
      <c r="CI446" t="s">
        <v>1390</v>
      </c>
      <c r="CJ446" t="s">
        <v>206</v>
      </c>
      <c r="CK446" t="s">
        <v>230</v>
      </c>
      <c r="CL446" t="s">
        <v>231</v>
      </c>
      <c r="CM446" t="s">
        <v>232</v>
      </c>
      <c r="CN446" t="s">
        <v>233</v>
      </c>
      <c r="CP446" t="s">
        <v>212</v>
      </c>
      <c r="CQ446" t="s">
        <v>212</v>
      </c>
      <c r="CR446" t="s">
        <v>212</v>
      </c>
      <c r="CS446" t="s">
        <v>212</v>
      </c>
      <c r="CY446" t="s">
        <v>212</v>
      </c>
      <c r="DB446" t="s">
        <v>234</v>
      </c>
      <c r="DE446" t="s">
        <v>212</v>
      </c>
      <c r="DF446" t="s">
        <v>212</v>
      </c>
      <c r="DG446" t="s">
        <v>235</v>
      </c>
      <c r="DH446" t="s">
        <v>212</v>
      </c>
      <c r="DJ446" t="s">
        <v>236</v>
      </c>
      <c r="DM446" t="s">
        <v>212</v>
      </c>
    </row>
    <row r="447" spans="1:117" x14ac:dyDescent="0.3">
      <c r="A447">
        <v>25953872</v>
      </c>
      <c r="B447">
        <v>9878670</v>
      </c>
      <c r="C447" t="str">
        <f>"170829606029"</f>
        <v>170829606029</v>
      </c>
      <c r="D447" t="s">
        <v>1391</v>
      </c>
      <c r="E447" t="s">
        <v>1392</v>
      </c>
      <c r="F447" t="s">
        <v>1393</v>
      </c>
      <c r="G447" s="1">
        <v>42976</v>
      </c>
      <c r="I447" t="s">
        <v>199</v>
      </c>
      <c r="J447" t="s">
        <v>200</v>
      </c>
      <c r="K447" t="s">
        <v>201</v>
      </c>
      <c r="Q447" t="s">
        <v>212</v>
      </c>
      <c r="R447" t="str">
        <f>"КАЗАХСТАН, АКМОЛИНСКАЯ, АККОЛЬСКИЙ РАЙОН, Кенесский, Кенес, 9"</f>
        <v>КАЗАХСТАН, АКМОЛИНСКАЯ, АККОЛЬСКИЙ РАЙОН, Кенесский, Кенес, 9</v>
      </c>
      <c r="S447" t="str">
        <f>"ҚАЗАҚСТАН, АҚМОЛА, АҚКӨЛ АУДАНЫ, Кенесский, Кенес, 9"</f>
        <v>ҚАЗАҚСТАН, АҚМОЛА, АҚКӨЛ АУДАНЫ, Кенесский, Кенес, 9</v>
      </c>
      <c r="T447" t="str">
        <f>"Кенесский, Кенес, 9"</f>
        <v>Кенесский, Кенес, 9</v>
      </c>
      <c r="U447" t="str">
        <f>"Кенесский, Кенес, 9"</f>
        <v>Кенесский, Кенес, 9</v>
      </c>
      <c r="AC447" t="str">
        <f>"2023-08-25T00:00:00"</f>
        <v>2023-08-25T00:00:00</v>
      </c>
      <c r="AD447" t="str">
        <f>"202"</f>
        <v>202</v>
      </c>
      <c r="AG447" t="s">
        <v>202</v>
      </c>
      <c r="AI447" t="s">
        <v>274</v>
      </c>
      <c r="AJ447" t="s">
        <v>1298</v>
      </c>
      <c r="AK447" t="s">
        <v>253</v>
      </c>
      <c r="AL447" t="s">
        <v>206</v>
      </c>
      <c r="AN447" t="s">
        <v>254</v>
      </c>
      <c r="AO447">
        <v>2</v>
      </c>
      <c r="AP447" t="s">
        <v>208</v>
      </c>
      <c r="AQ447" t="s">
        <v>209</v>
      </c>
      <c r="AR447" t="s">
        <v>502</v>
      </c>
      <c r="AW447" t="s">
        <v>212</v>
      </c>
      <c r="AZ447" t="s">
        <v>209</v>
      </c>
      <c r="BI447" t="s">
        <v>212</v>
      </c>
      <c r="BJ447" t="s">
        <v>213</v>
      </c>
      <c r="BK447" t="s">
        <v>214</v>
      </c>
      <c r="BL447" t="s">
        <v>215</v>
      </c>
      <c r="BN447" t="s">
        <v>661</v>
      </c>
      <c r="BO447" t="s">
        <v>209</v>
      </c>
      <c r="BS447" t="s">
        <v>220</v>
      </c>
      <c r="CA447" t="s">
        <v>287</v>
      </c>
      <c r="CC447" t="s">
        <v>209</v>
      </c>
      <c r="CE447" t="s">
        <v>242</v>
      </c>
      <c r="CJ447" t="s">
        <v>206</v>
      </c>
      <c r="CK447" t="s">
        <v>230</v>
      </c>
      <c r="CL447" t="s">
        <v>231</v>
      </c>
      <c r="CM447" t="s">
        <v>232</v>
      </c>
      <c r="CN447" t="s">
        <v>233</v>
      </c>
      <c r="CP447" t="s">
        <v>212</v>
      </c>
      <c r="CQ447" t="s">
        <v>212</v>
      </c>
      <c r="CR447" t="s">
        <v>212</v>
      </c>
      <c r="CS447" t="s">
        <v>212</v>
      </c>
      <c r="CY447" t="s">
        <v>212</v>
      </c>
      <c r="DB447" t="s">
        <v>234</v>
      </c>
      <c r="DE447" t="s">
        <v>212</v>
      </c>
      <c r="DF447" t="s">
        <v>212</v>
      </c>
      <c r="DG447" t="s">
        <v>235</v>
      </c>
      <c r="DH447" t="s">
        <v>212</v>
      </c>
      <c r="DJ447" t="s">
        <v>236</v>
      </c>
      <c r="DM447" t="s">
        <v>212</v>
      </c>
    </row>
    <row r="448" spans="1:117" x14ac:dyDescent="0.3">
      <c r="A448">
        <v>356677</v>
      </c>
      <c r="B448">
        <v>321949</v>
      </c>
      <c r="C448" t="str">
        <f>"101209601631"</f>
        <v>101209601631</v>
      </c>
      <c r="D448" t="s">
        <v>1394</v>
      </c>
      <c r="E448" t="s">
        <v>1395</v>
      </c>
      <c r="F448" t="s">
        <v>1396</v>
      </c>
      <c r="G448" s="1">
        <v>40521</v>
      </c>
      <c r="I448" t="s">
        <v>199</v>
      </c>
      <c r="J448" t="s">
        <v>200</v>
      </c>
      <c r="K448" t="s">
        <v>201</v>
      </c>
      <c r="R448" t="str">
        <f>"КАЗАХСТАН, АКМОЛИНСКАЯ, СТЕПНОГОРСК, -, 34, 22"</f>
        <v>КАЗАХСТАН, АКМОЛИНСКАЯ, СТЕПНОГОРСК, -, 34, 22</v>
      </c>
      <c r="S448" t="str">
        <f>"ҚАЗАҚСТАН, АҚМОЛА, СТЕПНОГОР, -, 34, 22"</f>
        <v>ҚАЗАҚСТАН, АҚМОЛА, СТЕПНОГОР, -, 34, 22</v>
      </c>
      <c r="T448" t="str">
        <f>"-, 34, 22"</f>
        <v>-, 34, 22</v>
      </c>
      <c r="U448" t="str">
        <f>"-, 34, 22"</f>
        <v>-, 34, 22</v>
      </c>
      <c r="AC448" t="str">
        <f>"2018-08-29T00:00:00"</f>
        <v>2018-08-29T00:00:00</v>
      </c>
      <c r="AD448" t="str">
        <f>"140"</f>
        <v>140</v>
      </c>
      <c r="AG448" t="s">
        <v>202</v>
      </c>
      <c r="AI448" t="s">
        <v>274</v>
      </c>
      <c r="AJ448" t="s">
        <v>348</v>
      </c>
      <c r="AK448" t="s">
        <v>261</v>
      </c>
      <c r="AL448" t="s">
        <v>206</v>
      </c>
      <c r="AN448" t="s">
        <v>207</v>
      </c>
      <c r="AO448">
        <v>1</v>
      </c>
      <c r="AP448" t="s">
        <v>208</v>
      </c>
      <c r="AQ448" t="s">
        <v>209</v>
      </c>
      <c r="AR448" t="s">
        <v>307</v>
      </c>
      <c r="AW448" t="s">
        <v>206</v>
      </c>
      <c r="AX448" t="s">
        <v>211</v>
      </c>
      <c r="AZ448" t="s">
        <v>209</v>
      </c>
      <c r="BI448" t="s">
        <v>212</v>
      </c>
      <c r="BJ448" t="s">
        <v>213</v>
      </c>
      <c r="BK448" t="s">
        <v>214</v>
      </c>
      <c r="BL448" t="s">
        <v>215</v>
      </c>
      <c r="BN448" t="s">
        <v>247</v>
      </c>
      <c r="BO448" t="s">
        <v>209</v>
      </c>
      <c r="BP448" t="s">
        <v>415</v>
      </c>
      <c r="BQ448" t="s">
        <v>1130</v>
      </c>
      <c r="BS448" t="s">
        <v>219</v>
      </c>
      <c r="BT448" t="s">
        <v>220</v>
      </c>
      <c r="BU448" t="s">
        <v>206</v>
      </c>
      <c r="BX448" t="s">
        <v>221</v>
      </c>
      <c r="BY448" t="s">
        <v>221</v>
      </c>
      <c r="CA448" t="s">
        <v>222</v>
      </c>
      <c r="CB448" t="s">
        <v>223</v>
      </c>
      <c r="CC448" t="s">
        <v>222</v>
      </c>
      <c r="CD448" t="s">
        <v>223</v>
      </c>
      <c r="CE448" t="s">
        <v>242</v>
      </c>
      <c r="CJ448" t="s">
        <v>206</v>
      </c>
      <c r="CK448" t="s">
        <v>230</v>
      </c>
      <c r="CL448" t="s">
        <v>231</v>
      </c>
      <c r="CM448" t="s">
        <v>232</v>
      </c>
      <c r="CN448" t="s">
        <v>233</v>
      </c>
      <c r="CP448" t="s">
        <v>212</v>
      </c>
      <c r="CQ448" t="s">
        <v>212</v>
      </c>
      <c r="CR448" t="s">
        <v>212</v>
      </c>
      <c r="CS448" t="s">
        <v>212</v>
      </c>
      <c r="CY448" t="s">
        <v>212</v>
      </c>
      <c r="DB448" t="s">
        <v>234</v>
      </c>
      <c r="DE448" t="s">
        <v>212</v>
      </c>
      <c r="DF448" t="s">
        <v>212</v>
      </c>
      <c r="DG448" t="s">
        <v>235</v>
      </c>
      <c r="DH448" t="s">
        <v>212</v>
      </c>
      <c r="DJ448" t="s">
        <v>236</v>
      </c>
      <c r="DM448" t="s">
        <v>212</v>
      </c>
    </row>
    <row r="449" spans="1:117" x14ac:dyDescent="0.3">
      <c r="A449">
        <v>25953994</v>
      </c>
      <c r="B449">
        <v>12411930</v>
      </c>
      <c r="C449" t="str">
        <f>"181013500190"</f>
        <v>181013500190</v>
      </c>
      <c r="D449" t="s">
        <v>585</v>
      </c>
      <c r="E449" t="s">
        <v>1397</v>
      </c>
      <c r="F449" t="s">
        <v>1398</v>
      </c>
      <c r="G449" s="1">
        <v>43386</v>
      </c>
      <c r="I449" t="s">
        <v>240</v>
      </c>
      <c r="J449" t="s">
        <v>200</v>
      </c>
      <c r="K449" t="s">
        <v>201</v>
      </c>
      <c r="Q449" t="s">
        <v>212</v>
      </c>
      <c r="R449" t="str">
        <f>"КАЗАХСТАН, АКМОЛИНСКАЯ, СТЕПНОГОРСК, Бестобе, 44"</f>
        <v>КАЗАХСТАН, АКМОЛИНСКАЯ, СТЕПНОГОРСК, Бестобе, 44</v>
      </c>
      <c r="S449" t="str">
        <f>"ҚАЗАҚСТАН, АҚМОЛА, СТЕПНОГОР, Бестобе, 44"</f>
        <v>ҚАЗАҚСТАН, АҚМОЛА, СТЕПНОГОР, Бестобе, 44</v>
      </c>
      <c r="T449" t="str">
        <f>"Бестобе, 44"</f>
        <v>Бестобе, 44</v>
      </c>
      <c r="U449" t="str">
        <f>"Бестобе, 44"</f>
        <v>Бестобе, 44</v>
      </c>
      <c r="AC449" t="str">
        <f>"2023-08-25T00:00:00"</f>
        <v>2023-08-25T00:00:00</v>
      </c>
      <c r="AD449" t="str">
        <f>"202"</f>
        <v>202</v>
      </c>
      <c r="AG449" t="s">
        <v>202</v>
      </c>
      <c r="AI449" t="s">
        <v>299</v>
      </c>
      <c r="AJ449" t="s">
        <v>1298</v>
      </c>
      <c r="AK449" t="s">
        <v>253</v>
      </c>
      <c r="AL449" t="s">
        <v>206</v>
      </c>
      <c r="AN449" t="s">
        <v>254</v>
      </c>
      <c r="AO449">
        <v>2</v>
      </c>
      <c r="AP449" t="s">
        <v>208</v>
      </c>
      <c r="AQ449" t="s">
        <v>209</v>
      </c>
      <c r="AR449" t="s">
        <v>502</v>
      </c>
      <c r="AW449" t="s">
        <v>212</v>
      </c>
      <c r="AZ449" t="s">
        <v>209</v>
      </c>
      <c r="BI449" t="s">
        <v>212</v>
      </c>
      <c r="BJ449" t="s">
        <v>213</v>
      </c>
      <c r="BK449" t="s">
        <v>214</v>
      </c>
      <c r="BL449" t="s">
        <v>215</v>
      </c>
      <c r="BN449" t="s">
        <v>661</v>
      </c>
      <c r="BO449" t="s">
        <v>209</v>
      </c>
      <c r="BS449" t="s">
        <v>220</v>
      </c>
      <c r="CA449" t="s">
        <v>287</v>
      </c>
      <c r="CC449" t="s">
        <v>209</v>
      </c>
      <c r="CE449" t="s">
        <v>242</v>
      </c>
      <c r="CJ449" t="s">
        <v>206</v>
      </c>
      <c r="CK449" t="s">
        <v>230</v>
      </c>
      <c r="CL449" t="s">
        <v>231</v>
      </c>
      <c r="CM449" t="s">
        <v>232</v>
      </c>
      <c r="CN449" t="s">
        <v>233</v>
      </c>
      <c r="CP449" t="s">
        <v>212</v>
      </c>
      <c r="CQ449" t="s">
        <v>212</v>
      </c>
      <c r="CR449" t="s">
        <v>212</v>
      </c>
      <c r="CS449" t="s">
        <v>212</v>
      </c>
      <c r="CY449" t="s">
        <v>212</v>
      </c>
      <c r="DB449" t="s">
        <v>234</v>
      </c>
      <c r="DE449" t="s">
        <v>212</v>
      </c>
      <c r="DF449" t="s">
        <v>212</v>
      </c>
      <c r="DG449" t="s">
        <v>235</v>
      </c>
      <c r="DH449" t="s">
        <v>212</v>
      </c>
      <c r="DJ449" t="s">
        <v>236</v>
      </c>
      <c r="DM449" t="s">
        <v>206</v>
      </c>
    </row>
    <row r="450" spans="1:117" x14ac:dyDescent="0.3">
      <c r="A450">
        <v>356592</v>
      </c>
      <c r="B450">
        <v>321880</v>
      </c>
      <c r="C450" t="str">
        <f>"120107502283"</f>
        <v>120107502283</v>
      </c>
      <c r="D450" t="s">
        <v>1090</v>
      </c>
      <c r="E450" t="s">
        <v>720</v>
      </c>
      <c r="F450" t="s">
        <v>1092</v>
      </c>
      <c r="G450" s="1">
        <v>40915</v>
      </c>
      <c r="I450" t="s">
        <v>240</v>
      </c>
      <c r="J450" t="s">
        <v>200</v>
      </c>
      <c r="K450" t="s">
        <v>260</v>
      </c>
      <c r="Q450" t="s">
        <v>212</v>
      </c>
      <c r="R450" t="str">
        <f>"КАЗАХСТАН, АКМОЛИНСКАЯ, СТЕПНОГОРСК, 22, 43"</f>
        <v>КАЗАХСТАН, АКМОЛИНСКАЯ, СТЕПНОГОРСК, 22, 43</v>
      </c>
      <c r="S450" t="str">
        <f>"ҚАЗАҚСТАН, АҚМОЛА, СТЕПНОГОР, 22, 43"</f>
        <v>ҚАЗАҚСТАН, АҚМОЛА, СТЕПНОГОР, 22, 43</v>
      </c>
      <c r="T450" t="str">
        <f>"22, 43"</f>
        <v>22, 43</v>
      </c>
      <c r="U450" t="str">
        <f>"22, 43"</f>
        <v>22, 43</v>
      </c>
      <c r="AC450" t="str">
        <f>"2018-08-29T00:00:00"</f>
        <v>2018-08-29T00:00:00</v>
      </c>
      <c r="AD450" t="str">
        <f>"140"</f>
        <v>140</v>
      </c>
      <c r="AE450" t="str">
        <f>"2023-09-01T17:24:05"</f>
        <v>2023-09-01T17:24:05</v>
      </c>
      <c r="AF450" t="str">
        <f>"2024-05-25T17:24:05"</f>
        <v>2024-05-25T17:24:05</v>
      </c>
      <c r="AG450" t="s">
        <v>202</v>
      </c>
      <c r="AI450" t="s">
        <v>299</v>
      </c>
      <c r="AJ450" t="s">
        <v>348</v>
      </c>
      <c r="AK450" t="s">
        <v>205</v>
      </c>
      <c r="AL450" t="s">
        <v>206</v>
      </c>
      <c r="AN450" t="s">
        <v>207</v>
      </c>
      <c r="AO450">
        <v>1</v>
      </c>
      <c r="AP450" t="s">
        <v>208</v>
      </c>
      <c r="AQ450" t="s">
        <v>209</v>
      </c>
      <c r="AR450" t="s">
        <v>210</v>
      </c>
      <c r="AW450" t="s">
        <v>206</v>
      </c>
      <c r="AX450" t="s">
        <v>211</v>
      </c>
      <c r="AZ450" t="s">
        <v>209</v>
      </c>
      <c r="BI450" t="s">
        <v>212</v>
      </c>
      <c r="BJ450" t="s">
        <v>213</v>
      </c>
      <c r="BK450" t="s">
        <v>214</v>
      </c>
      <c r="BL450" t="s">
        <v>215</v>
      </c>
      <c r="BN450" t="s">
        <v>216</v>
      </c>
      <c r="BO450" t="s">
        <v>209</v>
      </c>
      <c r="BP450" t="s">
        <v>241</v>
      </c>
      <c r="BQ450">
        <v>4</v>
      </c>
      <c r="BS450" t="s">
        <v>219</v>
      </c>
      <c r="BT450" t="s">
        <v>220</v>
      </c>
      <c r="BU450" t="s">
        <v>206</v>
      </c>
      <c r="BX450" t="s">
        <v>221</v>
      </c>
      <c r="BY450" t="s">
        <v>221</v>
      </c>
      <c r="CA450" t="s">
        <v>222</v>
      </c>
      <c r="CB450" t="s">
        <v>223</v>
      </c>
      <c r="CC450" t="s">
        <v>638</v>
      </c>
      <c r="CD450" t="s">
        <v>349</v>
      </c>
      <c r="CE450" t="s">
        <v>242</v>
      </c>
      <c r="CJ450" t="s">
        <v>206</v>
      </c>
      <c r="CK450" t="s">
        <v>230</v>
      </c>
      <c r="CL450" t="s">
        <v>231</v>
      </c>
      <c r="CM450" t="s">
        <v>232</v>
      </c>
      <c r="CN450" t="s">
        <v>233</v>
      </c>
      <c r="CP450" t="s">
        <v>212</v>
      </c>
      <c r="CQ450" t="s">
        <v>212</v>
      </c>
      <c r="CR450" t="s">
        <v>212</v>
      </c>
      <c r="CS450" t="s">
        <v>212</v>
      </c>
      <c r="CY450" t="s">
        <v>212</v>
      </c>
      <c r="CZ450" t="str">
        <f>"2017-02-15T00:00:00"</f>
        <v>2017-02-15T00:00:00</v>
      </c>
      <c r="DB450" t="s">
        <v>234</v>
      </c>
      <c r="DE450" t="s">
        <v>212</v>
      </c>
      <c r="DF450" t="s">
        <v>212</v>
      </c>
      <c r="DG450" t="s">
        <v>235</v>
      </c>
      <c r="DH450" t="s">
        <v>212</v>
      </c>
      <c r="DJ450" t="s">
        <v>236</v>
      </c>
      <c r="DM450" t="s">
        <v>212</v>
      </c>
    </row>
    <row r="451" spans="1:117" x14ac:dyDescent="0.3">
      <c r="A451">
        <v>356248</v>
      </c>
      <c r="B451">
        <v>321570</v>
      </c>
      <c r="C451" t="str">
        <f>"110110503751"</f>
        <v>110110503751</v>
      </c>
      <c r="D451" t="s">
        <v>1399</v>
      </c>
      <c r="E451" t="s">
        <v>1110</v>
      </c>
      <c r="F451" t="s">
        <v>843</v>
      </c>
      <c r="G451" s="1">
        <v>40553</v>
      </c>
      <c r="I451" t="s">
        <v>240</v>
      </c>
      <c r="J451" t="s">
        <v>200</v>
      </c>
      <c r="K451" t="s">
        <v>260</v>
      </c>
      <c r="R451" t="str">
        <f>"КАЗАХСТАН, АКМОЛИНСКАЯ, СТЕПНОГОРСК, 19, 6"</f>
        <v>КАЗАХСТАН, АКМОЛИНСКАЯ, СТЕПНОГОРСК, 19, 6</v>
      </c>
      <c r="S451" t="str">
        <f>"ҚАЗАҚСТАН, АҚМОЛА, СТЕПНОГОР, 19, 6"</f>
        <v>ҚАЗАҚСТАН, АҚМОЛА, СТЕПНОГОР, 19, 6</v>
      </c>
      <c r="T451" t="str">
        <f>"19, 6"</f>
        <v>19, 6</v>
      </c>
      <c r="U451" t="str">
        <f>"19, 6"</f>
        <v>19, 6</v>
      </c>
      <c r="AC451" t="str">
        <f>"2017-08-29T00:00:00"</f>
        <v>2017-08-29T00:00:00</v>
      </c>
      <c r="AD451" t="str">
        <f>"112"</f>
        <v>112</v>
      </c>
      <c r="AG451" t="s">
        <v>202</v>
      </c>
      <c r="AI451" t="s">
        <v>274</v>
      </c>
      <c r="AJ451" t="s">
        <v>300</v>
      </c>
      <c r="AK451" t="s">
        <v>246</v>
      </c>
      <c r="AL451" t="s">
        <v>206</v>
      </c>
      <c r="AN451" t="s">
        <v>207</v>
      </c>
      <c r="AO451">
        <v>1</v>
      </c>
      <c r="AP451" t="s">
        <v>208</v>
      </c>
      <c r="AQ451" t="s">
        <v>209</v>
      </c>
      <c r="AR451" t="s">
        <v>210</v>
      </c>
      <c r="AW451" t="s">
        <v>206</v>
      </c>
      <c r="AX451" t="s">
        <v>211</v>
      </c>
      <c r="AZ451" t="s">
        <v>209</v>
      </c>
      <c r="BI451" t="s">
        <v>212</v>
      </c>
      <c r="BJ451" t="s">
        <v>213</v>
      </c>
      <c r="BK451" t="s">
        <v>214</v>
      </c>
      <c r="BL451" t="s">
        <v>215</v>
      </c>
      <c r="BN451" t="s">
        <v>247</v>
      </c>
      <c r="BO451" t="s">
        <v>209</v>
      </c>
      <c r="BP451" t="s">
        <v>241</v>
      </c>
      <c r="BQ451">
        <v>4</v>
      </c>
      <c r="BS451" t="s">
        <v>219</v>
      </c>
      <c r="BT451" t="s">
        <v>220</v>
      </c>
      <c r="BU451" t="s">
        <v>206</v>
      </c>
      <c r="BX451" t="s">
        <v>221</v>
      </c>
      <c r="BY451" t="s">
        <v>221</v>
      </c>
      <c r="CA451" t="s">
        <v>222</v>
      </c>
      <c r="CB451" t="s">
        <v>223</v>
      </c>
      <c r="CC451" t="s">
        <v>222</v>
      </c>
      <c r="CD451" t="s">
        <v>223</v>
      </c>
      <c r="CE451" t="s">
        <v>242</v>
      </c>
      <c r="CJ451" t="s">
        <v>206</v>
      </c>
      <c r="CK451" t="s">
        <v>230</v>
      </c>
      <c r="CL451" t="s">
        <v>231</v>
      </c>
      <c r="CM451" t="s">
        <v>232</v>
      </c>
      <c r="CN451" t="s">
        <v>233</v>
      </c>
      <c r="CP451" t="s">
        <v>212</v>
      </c>
      <c r="CQ451" t="s">
        <v>212</v>
      </c>
      <c r="CR451" t="s">
        <v>212</v>
      </c>
      <c r="CS451" t="s">
        <v>212</v>
      </c>
      <c r="CY451" t="s">
        <v>212</v>
      </c>
      <c r="DB451" t="s">
        <v>234</v>
      </c>
      <c r="DE451" t="s">
        <v>212</v>
      </c>
      <c r="DF451" t="s">
        <v>212</v>
      </c>
      <c r="DG451" t="s">
        <v>235</v>
      </c>
      <c r="DH451" t="s">
        <v>212</v>
      </c>
      <c r="DJ451" t="s">
        <v>236</v>
      </c>
      <c r="DM451" t="s">
        <v>212</v>
      </c>
    </row>
    <row r="452" spans="1:117" x14ac:dyDescent="0.3">
      <c r="A452">
        <v>356213</v>
      </c>
      <c r="B452">
        <v>321542</v>
      </c>
      <c r="C452" t="str">
        <f>"120605601754"</f>
        <v>120605601754</v>
      </c>
      <c r="D452" t="s">
        <v>1400</v>
      </c>
      <c r="E452" t="s">
        <v>1401</v>
      </c>
      <c r="F452" t="s">
        <v>1133</v>
      </c>
      <c r="G452" s="1">
        <v>41065</v>
      </c>
      <c r="I452" t="s">
        <v>199</v>
      </c>
      <c r="J452" t="s">
        <v>200</v>
      </c>
      <c r="K452" t="s">
        <v>260</v>
      </c>
      <c r="Q452" t="s">
        <v>212</v>
      </c>
      <c r="R452" t="str">
        <f>"КАЗАХСТАН, АКМОЛИНСКАЯ, СТЕПНОГОРСК, Бестобе, 17"</f>
        <v>КАЗАХСТАН, АКМОЛИНСКАЯ, СТЕПНОГОРСК, Бестобе, 17</v>
      </c>
      <c r="S452" t="str">
        <f>"ҚАЗАҚСТАН, АҚМОЛА, СТЕПНОГОР, Бестобе, 17"</f>
        <v>ҚАЗАҚСТАН, АҚМОЛА, СТЕПНОГОР, Бестобе, 17</v>
      </c>
      <c r="T452" t="str">
        <f>"Бестобе, 17"</f>
        <v>Бестобе, 17</v>
      </c>
      <c r="U452" t="str">
        <f>"Бестобе, 17"</f>
        <v>Бестобе, 17</v>
      </c>
      <c r="AC452" t="str">
        <f>"2018-08-29T00:00:00"</f>
        <v>2018-08-29T00:00:00</v>
      </c>
      <c r="AD452" t="str">
        <f>"139"</f>
        <v>139</v>
      </c>
      <c r="AG452" t="s">
        <v>202</v>
      </c>
      <c r="AI452" t="s">
        <v>203</v>
      </c>
      <c r="AJ452" t="s">
        <v>419</v>
      </c>
      <c r="AK452" t="s">
        <v>205</v>
      </c>
      <c r="AL452" t="s">
        <v>206</v>
      </c>
      <c r="AN452" t="s">
        <v>207</v>
      </c>
      <c r="AO452">
        <v>1</v>
      </c>
      <c r="AP452" t="s">
        <v>208</v>
      </c>
      <c r="AQ452" t="s">
        <v>209</v>
      </c>
      <c r="AR452" t="s">
        <v>210</v>
      </c>
      <c r="AW452" t="s">
        <v>206</v>
      </c>
      <c r="AX452" t="s">
        <v>211</v>
      </c>
      <c r="AZ452" t="s">
        <v>209</v>
      </c>
      <c r="BI452" t="s">
        <v>212</v>
      </c>
      <c r="BJ452" t="s">
        <v>213</v>
      </c>
      <c r="BK452" t="s">
        <v>214</v>
      </c>
      <c r="BL452" t="s">
        <v>215</v>
      </c>
      <c r="BN452" t="s">
        <v>281</v>
      </c>
      <c r="BO452" t="s">
        <v>209</v>
      </c>
      <c r="BP452" t="s">
        <v>241</v>
      </c>
      <c r="BQ452">
        <v>5</v>
      </c>
      <c r="BS452" t="s">
        <v>219</v>
      </c>
      <c r="BT452" t="s">
        <v>220</v>
      </c>
      <c r="BU452" t="s">
        <v>206</v>
      </c>
      <c r="BX452" t="s">
        <v>221</v>
      </c>
      <c r="BY452" t="s">
        <v>221</v>
      </c>
      <c r="CA452" t="s">
        <v>287</v>
      </c>
      <c r="CC452" t="s">
        <v>224</v>
      </c>
      <c r="CD452" t="s">
        <v>223</v>
      </c>
      <c r="CE452" t="s">
        <v>242</v>
      </c>
      <c r="CJ452" t="s">
        <v>206</v>
      </c>
      <c r="CK452" t="s">
        <v>230</v>
      </c>
      <c r="CL452" t="s">
        <v>231</v>
      </c>
      <c r="CM452" t="s">
        <v>232</v>
      </c>
      <c r="CN452" t="s">
        <v>233</v>
      </c>
      <c r="CP452" t="s">
        <v>212</v>
      </c>
      <c r="CQ452" t="s">
        <v>212</v>
      </c>
      <c r="CR452" t="s">
        <v>212</v>
      </c>
      <c r="CS452" t="s">
        <v>212</v>
      </c>
      <c r="CY452" t="s">
        <v>212</v>
      </c>
      <c r="DB452" t="s">
        <v>234</v>
      </c>
      <c r="DE452" t="s">
        <v>212</v>
      </c>
      <c r="DF452" t="s">
        <v>212</v>
      </c>
      <c r="DG452" t="s">
        <v>235</v>
      </c>
      <c r="DH452" t="s">
        <v>212</v>
      </c>
      <c r="DJ452" t="s">
        <v>236</v>
      </c>
      <c r="DM452" t="s">
        <v>212</v>
      </c>
    </row>
    <row r="453" spans="1:117" x14ac:dyDescent="0.3">
      <c r="A453">
        <v>25954445</v>
      </c>
      <c r="B453">
        <v>11057887</v>
      </c>
      <c r="C453" t="str">
        <f>"180323602186"</f>
        <v>180323602186</v>
      </c>
      <c r="D453" t="s">
        <v>1402</v>
      </c>
      <c r="E453" t="s">
        <v>931</v>
      </c>
      <c r="F453" t="s">
        <v>1403</v>
      </c>
      <c r="G453" s="1">
        <v>43182</v>
      </c>
      <c r="I453" t="s">
        <v>199</v>
      </c>
      <c r="J453" t="s">
        <v>200</v>
      </c>
      <c r="K453" t="s">
        <v>201</v>
      </c>
      <c r="Q453" t="s">
        <v>212</v>
      </c>
      <c r="R453" t="str">
        <f>"КАЗАХСТАН, АКМОЛИНСКАЯ, ЦЕЛИНОГРАДСКИЙ РАЙОН, Нуресильский, Нуресиль, 18"</f>
        <v>КАЗАХСТАН, АКМОЛИНСКАЯ, ЦЕЛИНОГРАДСКИЙ РАЙОН, Нуресильский, Нуресиль, 18</v>
      </c>
      <c r="S453" t="str">
        <f>"ҚАЗАҚСТАН, АҚМОЛА, ЦЕЛИНОГРАД АУДАНЫ, Нуресильский, Нуресиль, 18"</f>
        <v>ҚАЗАҚСТАН, АҚМОЛА, ЦЕЛИНОГРАД АУДАНЫ, Нуресильский, Нуресиль, 18</v>
      </c>
      <c r="T453" t="str">
        <f>"Нуресильский, Нуресиль, 18"</f>
        <v>Нуресильский, Нуресиль, 18</v>
      </c>
      <c r="U453" t="str">
        <f>"Нуресильский, Нуресиль, 18"</f>
        <v>Нуресильский, Нуресиль, 18</v>
      </c>
      <c r="AC453" t="str">
        <f>"2023-08-25T00:00:00"</f>
        <v>2023-08-25T00:00:00</v>
      </c>
      <c r="AD453" t="str">
        <f>"202"</f>
        <v>202</v>
      </c>
      <c r="AG453" t="s">
        <v>202</v>
      </c>
      <c r="AI453" t="s">
        <v>299</v>
      </c>
      <c r="AJ453" t="s">
        <v>1298</v>
      </c>
      <c r="AK453" t="s">
        <v>253</v>
      </c>
      <c r="AL453" t="s">
        <v>206</v>
      </c>
      <c r="AN453" t="s">
        <v>254</v>
      </c>
      <c r="AO453">
        <v>2</v>
      </c>
      <c r="AP453" t="s">
        <v>208</v>
      </c>
      <c r="AQ453" t="s">
        <v>209</v>
      </c>
      <c r="AR453" t="s">
        <v>502</v>
      </c>
      <c r="AW453" t="s">
        <v>212</v>
      </c>
      <c r="AZ453" t="s">
        <v>209</v>
      </c>
      <c r="BI453" t="s">
        <v>212</v>
      </c>
      <c r="BJ453" t="s">
        <v>213</v>
      </c>
      <c r="BK453" t="s">
        <v>214</v>
      </c>
      <c r="BL453" t="s">
        <v>215</v>
      </c>
      <c r="BN453" t="s">
        <v>661</v>
      </c>
      <c r="BO453" t="s">
        <v>209</v>
      </c>
      <c r="BS453" t="s">
        <v>220</v>
      </c>
      <c r="CA453" t="s">
        <v>287</v>
      </c>
      <c r="CC453" t="s">
        <v>209</v>
      </c>
      <c r="CE453" t="s">
        <v>242</v>
      </c>
      <c r="CJ453" t="s">
        <v>206</v>
      </c>
      <c r="CK453" t="s">
        <v>230</v>
      </c>
      <c r="CL453" t="s">
        <v>231</v>
      </c>
      <c r="CM453" t="s">
        <v>232</v>
      </c>
      <c r="CN453" t="s">
        <v>233</v>
      </c>
      <c r="CP453" t="s">
        <v>212</v>
      </c>
      <c r="CQ453" t="s">
        <v>212</v>
      </c>
      <c r="CR453" t="s">
        <v>212</v>
      </c>
      <c r="CS453" t="s">
        <v>212</v>
      </c>
      <c r="CY453" t="s">
        <v>212</v>
      </c>
      <c r="DB453" t="s">
        <v>234</v>
      </c>
      <c r="DE453" t="s">
        <v>212</v>
      </c>
      <c r="DF453" t="s">
        <v>212</v>
      </c>
      <c r="DG453" t="s">
        <v>235</v>
      </c>
      <c r="DH453" t="s">
        <v>212</v>
      </c>
      <c r="DJ453" t="s">
        <v>236</v>
      </c>
      <c r="DM453" t="s">
        <v>212</v>
      </c>
    </row>
    <row r="454" spans="1:117" x14ac:dyDescent="0.3">
      <c r="A454">
        <v>25954506</v>
      </c>
      <c r="B454">
        <v>12557344</v>
      </c>
      <c r="C454" t="str">
        <f>"180624050055"</f>
        <v>180624050055</v>
      </c>
      <c r="D454" t="s">
        <v>1404</v>
      </c>
      <c r="E454" t="s">
        <v>1405</v>
      </c>
      <c r="F454" t="s">
        <v>1406</v>
      </c>
      <c r="G454" s="1">
        <v>43275</v>
      </c>
      <c r="I454" t="s">
        <v>240</v>
      </c>
      <c r="J454" t="s">
        <v>200</v>
      </c>
      <c r="K454" t="s">
        <v>201</v>
      </c>
      <c r="L454" t="s">
        <v>212</v>
      </c>
      <c r="Q454" t="s">
        <v>212</v>
      </c>
      <c r="R454" t="str">
        <f>"-"</f>
        <v>-</v>
      </c>
      <c r="S454" t="str">
        <f>"-"</f>
        <v>-</v>
      </c>
      <c r="T454" t="str">
        <f>"-"</f>
        <v>-</v>
      </c>
      <c r="U454" t="str">
        <f>"-"</f>
        <v>-</v>
      </c>
      <c r="AC454" t="str">
        <f>"2023-08-25T00:00:00"</f>
        <v>2023-08-25T00:00:00</v>
      </c>
      <c r="AD454" t="str">
        <f>"202"</f>
        <v>202</v>
      </c>
      <c r="AG454" t="s">
        <v>202</v>
      </c>
      <c r="AI454" t="s">
        <v>274</v>
      </c>
      <c r="AJ454" t="s">
        <v>1298</v>
      </c>
      <c r="AK454" t="s">
        <v>253</v>
      </c>
      <c r="AL454" t="s">
        <v>206</v>
      </c>
      <c r="AN454" t="s">
        <v>254</v>
      </c>
      <c r="AO454">
        <v>2</v>
      </c>
      <c r="AP454" t="s">
        <v>208</v>
      </c>
      <c r="AQ454" t="s">
        <v>209</v>
      </c>
      <c r="AR454" t="s">
        <v>502</v>
      </c>
      <c r="AW454" t="s">
        <v>212</v>
      </c>
      <c r="AZ454" t="s">
        <v>209</v>
      </c>
      <c r="BI454" t="s">
        <v>212</v>
      </c>
      <c r="BJ454" t="s">
        <v>213</v>
      </c>
      <c r="BK454" t="s">
        <v>214</v>
      </c>
      <c r="BL454" t="s">
        <v>215</v>
      </c>
      <c r="BN454" t="s">
        <v>661</v>
      </c>
      <c r="BO454" t="s">
        <v>209</v>
      </c>
      <c r="BS454" t="s">
        <v>220</v>
      </c>
      <c r="CA454" t="s">
        <v>287</v>
      </c>
      <c r="CC454" t="s">
        <v>209</v>
      </c>
      <c r="CE454" t="s">
        <v>242</v>
      </c>
      <c r="CJ454" t="s">
        <v>206</v>
      </c>
      <c r="CK454" t="s">
        <v>230</v>
      </c>
      <c r="CL454" t="s">
        <v>231</v>
      </c>
      <c r="CM454" t="s">
        <v>232</v>
      </c>
      <c r="CN454" t="s">
        <v>233</v>
      </c>
      <c r="CP454" t="s">
        <v>212</v>
      </c>
      <c r="CQ454" t="s">
        <v>212</v>
      </c>
      <c r="CR454" t="s">
        <v>212</v>
      </c>
      <c r="CS454" t="s">
        <v>212</v>
      </c>
      <c r="CY454" t="s">
        <v>212</v>
      </c>
      <c r="DB454" t="s">
        <v>234</v>
      </c>
      <c r="DE454" t="s">
        <v>212</v>
      </c>
      <c r="DF454" t="s">
        <v>212</v>
      </c>
      <c r="DG454" t="s">
        <v>235</v>
      </c>
      <c r="DH454" t="s">
        <v>212</v>
      </c>
      <c r="DJ454" t="s">
        <v>236</v>
      </c>
      <c r="DM454" t="s">
        <v>212</v>
      </c>
    </row>
    <row r="455" spans="1:117" x14ac:dyDescent="0.3">
      <c r="A455">
        <v>355954</v>
      </c>
      <c r="B455">
        <v>321320</v>
      </c>
      <c r="C455" t="str">
        <f>"120509500847"</f>
        <v>120509500847</v>
      </c>
      <c r="D455" t="s">
        <v>1407</v>
      </c>
      <c r="E455" t="s">
        <v>1408</v>
      </c>
      <c r="F455" t="s">
        <v>1409</v>
      </c>
      <c r="G455" s="1">
        <v>41038</v>
      </c>
      <c r="I455" t="s">
        <v>240</v>
      </c>
      <c r="J455" t="s">
        <v>200</v>
      </c>
      <c r="K455" t="s">
        <v>201</v>
      </c>
      <c r="R455" t="str">
        <f>"КАЗАХСТАН, АКМОЛИНСКАЯ, СТЕПНОГОРСК, 33, 21"</f>
        <v>КАЗАХСТАН, АКМОЛИНСКАЯ, СТЕПНОГОРСК, 33, 21</v>
      </c>
      <c r="S455" t="str">
        <f>"ҚАЗАҚСТАН, АҚМОЛА, СТЕПНОГОР, 33, 21"</f>
        <v>ҚАЗАҚСТАН, АҚМОЛА, СТЕПНОГОР, 33, 21</v>
      </c>
      <c r="T455" t="str">
        <f>"33, 21"</f>
        <v>33, 21</v>
      </c>
      <c r="U455" t="str">
        <f>"33, 21"</f>
        <v>33, 21</v>
      </c>
      <c r="AC455" t="str">
        <f>"2018-08-29T00:00:00"</f>
        <v>2018-08-29T00:00:00</v>
      </c>
      <c r="AD455" t="str">
        <f>"140"</f>
        <v>140</v>
      </c>
      <c r="AG455" t="s">
        <v>202</v>
      </c>
      <c r="AI455" t="s">
        <v>269</v>
      </c>
      <c r="AJ455" t="s">
        <v>348</v>
      </c>
      <c r="AK455" t="s">
        <v>253</v>
      </c>
      <c r="AL455" t="s">
        <v>206</v>
      </c>
      <c r="AN455" t="s">
        <v>254</v>
      </c>
      <c r="AO455">
        <v>1</v>
      </c>
      <c r="AP455" t="s">
        <v>208</v>
      </c>
      <c r="AQ455" t="s">
        <v>209</v>
      </c>
      <c r="AR455" t="s">
        <v>262</v>
      </c>
      <c r="AW455" t="s">
        <v>206</v>
      </c>
      <c r="AX455" t="s">
        <v>211</v>
      </c>
      <c r="AZ455" t="s">
        <v>209</v>
      </c>
      <c r="BI455" t="s">
        <v>212</v>
      </c>
      <c r="BJ455" t="s">
        <v>213</v>
      </c>
      <c r="BK455" t="s">
        <v>214</v>
      </c>
      <c r="BL455" t="s">
        <v>215</v>
      </c>
      <c r="BN455" t="s">
        <v>216</v>
      </c>
      <c r="BO455" t="s">
        <v>209</v>
      </c>
      <c r="BP455" t="s">
        <v>241</v>
      </c>
      <c r="BQ455">
        <v>5</v>
      </c>
      <c r="BS455" t="s">
        <v>219</v>
      </c>
      <c r="BT455" t="s">
        <v>220</v>
      </c>
      <c r="BU455" t="s">
        <v>206</v>
      </c>
      <c r="BX455" t="s">
        <v>221</v>
      </c>
      <c r="BY455" t="s">
        <v>221</v>
      </c>
      <c r="CA455" t="s">
        <v>249</v>
      </c>
      <c r="CB455" t="s">
        <v>223</v>
      </c>
      <c r="CC455" t="s">
        <v>222</v>
      </c>
      <c r="CD455" t="s">
        <v>223</v>
      </c>
      <c r="CE455" t="s">
        <v>242</v>
      </c>
      <c r="CJ455" t="s">
        <v>206</v>
      </c>
      <c r="CK455" t="s">
        <v>230</v>
      </c>
      <c r="CL455" t="s">
        <v>231</v>
      </c>
      <c r="CM455" t="s">
        <v>232</v>
      </c>
      <c r="CN455" t="s">
        <v>233</v>
      </c>
      <c r="CP455" t="s">
        <v>212</v>
      </c>
      <c r="CQ455" t="s">
        <v>212</v>
      </c>
      <c r="CR455" t="s">
        <v>212</v>
      </c>
      <c r="CS455" t="s">
        <v>212</v>
      </c>
      <c r="CY455" t="s">
        <v>212</v>
      </c>
      <c r="DB455" t="s">
        <v>234</v>
      </c>
      <c r="DE455" t="s">
        <v>212</v>
      </c>
      <c r="DF455" t="s">
        <v>212</v>
      </c>
      <c r="DG455" t="s">
        <v>235</v>
      </c>
      <c r="DH455" t="s">
        <v>212</v>
      </c>
      <c r="DJ455" t="s">
        <v>236</v>
      </c>
      <c r="DM455" t="s">
        <v>212</v>
      </c>
    </row>
    <row r="456" spans="1:117" x14ac:dyDescent="0.3">
      <c r="A456">
        <v>355928</v>
      </c>
      <c r="B456">
        <v>321295</v>
      </c>
      <c r="C456" t="str">
        <f>"100309651679"</f>
        <v>100309651679</v>
      </c>
      <c r="D456" t="s">
        <v>1410</v>
      </c>
      <c r="E456" t="s">
        <v>883</v>
      </c>
      <c r="F456" t="s">
        <v>1411</v>
      </c>
      <c r="G456" s="1">
        <v>40246</v>
      </c>
      <c r="I456" t="s">
        <v>199</v>
      </c>
      <c r="J456" t="s">
        <v>200</v>
      </c>
      <c r="K456" t="s">
        <v>201</v>
      </c>
      <c r="R456" t="str">
        <f>"АНДОРРА, АКМОЛИНСКАЯ, СТЕПНОГОРСК, СТЕПНОГОР, 24, 23"</f>
        <v>АНДОРРА, АКМОЛИНСКАЯ, СТЕПНОГОРСК, СТЕПНОГОР, 24, 23</v>
      </c>
      <c r="S456" t="str">
        <f>"АНДОРРА, АҚМОЛА, СТЕПНОГОР, СТЕПНОГОР, 24, 23"</f>
        <v>АНДОРРА, АҚМОЛА, СТЕПНОГОР, СТЕПНОГОР, 24, 23</v>
      </c>
      <c r="T456" t="str">
        <f>"СТЕПНОГОР, 24, 23"</f>
        <v>СТЕПНОГОР, 24, 23</v>
      </c>
      <c r="U456" t="str">
        <f>"СТЕПНОГОР, 24, 23"</f>
        <v>СТЕПНОГОР, 24, 23</v>
      </c>
      <c r="AC456" t="str">
        <f>"2016-09-01T00:00:00"</f>
        <v>2016-09-01T00:00:00</v>
      </c>
      <c r="AD456" t="str">
        <f>"1"</f>
        <v>1</v>
      </c>
      <c r="AG456" t="s">
        <v>202</v>
      </c>
      <c r="AI456" t="s">
        <v>274</v>
      </c>
      <c r="AJ456" t="s">
        <v>300</v>
      </c>
      <c r="AK456" t="s">
        <v>261</v>
      </c>
      <c r="AL456" t="s">
        <v>206</v>
      </c>
      <c r="AN456" t="s">
        <v>207</v>
      </c>
      <c r="AO456">
        <v>1</v>
      </c>
      <c r="AP456" t="s">
        <v>208</v>
      </c>
      <c r="AQ456" t="s">
        <v>209</v>
      </c>
      <c r="AR456" t="s">
        <v>210</v>
      </c>
      <c r="AW456" t="s">
        <v>206</v>
      </c>
      <c r="AX456" t="s">
        <v>211</v>
      </c>
      <c r="AZ456" t="s">
        <v>209</v>
      </c>
      <c r="BI456" t="s">
        <v>212</v>
      </c>
      <c r="BJ456" t="s">
        <v>213</v>
      </c>
      <c r="BK456" t="s">
        <v>214</v>
      </c>
      <c r="BL456" t="s">
        <v>215</v>
      </c>
      <c r="BN456" t="s">
        <v>216</v>
      </c>
      <c r="BO456" t="s">
        <v>209</v>
      </c>
      <c r="BP456" t="s">
        <v>241</v>
      </c>
      <c r="BQ456">
        <v>4</v>
      </c>
      <c r="BS456" t="s">
        <v>219</v>
      </c>
      <c r="BT456" t="s">
        <v>220</v>
      </c>
      <c r="BU456" t="s">
        <v>206</v>
      </c>
      <c r="BX456" t="s">
        <v>221</v>
      </c>
      <c r="BY456" t="s">
        <v>221</v>
      </c>
      <c r="CA456" t="s">
        <v>222</v>
      </c>
      <c r="CB456" t="s">
        <v>223</v>
      </c>
      <c r="CC456" t="s">
        <v>224</v>
      </c>
      <c r="CD456" t="s">
        <v>223</v>
      </c>
      <c r="CE456" t="s">
        <v>225</v>
      </c>
      <c r="CF456" t="s">
        <v>226</v>
      </c>
      <c r="CG456" t="s">
        <v>227</v>
      </c>
      <c r="CH456" t="s">
        <v>228</v>
      </c>
      <c r="CI456" t="s">
        <v>1412</v>
      </c>
      <c r="CJ456" t="s">
        <v>206</v>
      </c>
      <c r="CK456" t="s">
        <v>230</v>
      </c>
      <c r="CL456" t="s">
        <v>231</v>
      </c>
      <c r="CM456" t="s">
        <v>232</v>
      </c>
      <c r="CN456" t="s">
        <v>233</v>
      </c>
      <c r="CP456" t="s">
        <v>212</v>
      </c>
      <c r="CQ456" t="s">
        <v>212</v>
      </c>
      <c r="CR456" t="s">
        <v>212</v>
      </c>
      <c r="CS456" t="s">
        <v>212</v>
      </c>
      <c r="CY456" t="s">
        <v>212</v>
      </c>
      <c r="DB456" t="s">
        <v>234</v>
      </c>
      <c r="DE456" t="s">
        <v>212</v>
      </c>
      <c r="DF456" t="s">
        <v>212</v>
      </c>
      <c r="DG456" t="s">
        <v>235</v>
      </c>
      <c r="DH456" t="s">
        <v>212</v>
      </c>
      <c r="DJ456" t="s">
        <v>236</v>
      </c>
      <c r="DM456" t="s">
        <v>206</v>
      </c>
    </row>
    <row r="457" spans="1:117" x14ac:dyDescent="0.3">
      <c r="A457">
        <v>355898</v>
      </c>
      <c r="B457">
        <v>321270</v>
      </c>
      <c r="C457" t="str">
        <f>"110525603000"</f>
        <v>110525603000</v>
      </c>
      <c r="D457" t="s">
        <v>1413</v>
      </c>
      <c r="E457" t="s">
        <v>740</v>
      </c>
      <c r="F457" t="s">
        <v>280</v>
      </c>
      <c r="G457" s="1">
        <v>40688</v>
      </c>
      <c r="I457" t="s">
        <v>199</v>
      </c>
      <c r="J457" t="s">
        <v>200</v>
      </c>
      <c r="K457" t="s">
        <v>201</v>
      </c>
      <c r="R457" t="str">
        <f>"КАЗАХСТАН, АКМОЛИНСКАЯ, СТЕПНОГОРСК, -, 33, 6"</f>
        <v>КАЗАХСТАН, АКМОЛИНСКАЯ, СТЕПНОГОРСК, -, 33, 6</v>
      </c>
      <c r="S457" t="str">
        <f>"ҚАЗАҚСТАН, АҚМОЛА, СТЕПНОГОР, -, 33, 6"</f>
        <v>ҚАЗАҚСТАН, АҚМОЛА, СТЕПНОГОР, -, 33, 6</v>
      </c>
      <c r="T457" t="str">
        <f>"-, 33, 6"</f>
        <v>-, 33, 6</v>
      </c>
      <c r="U457" t="str">
        <f>"-, 33, 6"</f>
        <v>-, 33, 6</v>
      </c>
      <c r="AC457" t="str">
        <f>"2017-09-01T00:00:00"</f>
        <v>2017-09-01T00:00:00</v>
      </c>
      <c r="AD457" t="str">
        <f>"1"</f>
        <v>1</v>
      </c>
      <c r="AG457" t="s">
        <v>202</v>
      </c>
      <c r="AI457" t="s">
        <v>274</v>
      </c>
      <c r="AJ457" t="s">
        <v>300</v>
      </c>
      <c r="AK457" t="s">
        <v>253</v>
      </c>
      <c r="AL457" t="s">
        <v>206</v>
      </c>
      <c r="AN457" t="s">
        <v>254</v>
      </c>
      <c r="AO457">
        <v>1</v>
      </c>
      <c r="AP457" t="s">
        <v>208</v>
      </c>
      <c r="AQ457" t="s">
        <v>209</v>
      </c>
      <c r="AR457" t="s">
        <v>210</v>
      </c>
      <c r="AW457" t="s">
        <v>206</v>
      </c>
      <c r="AX457" t="s">
        <v>211</v>
      </c>
      <c r="AZ457" t="s">
        <v>209</v>
      </c>
      <c r="BI457" t="s">
        <v>212</v>
      </c>
      <c r="BJ457" t="s">
        <v>213</v>
      </c>
      <c r="BK457" t="s">
        <v>214</v>
      </c>
      <c r="BL457" t="s">
        <v>215</v>
      </c>
      <c r="BN457" t="s">
        <v>216</v>
      </c>
      <c r="BO457" t="s">
        <v>209</v>
      </c>
      <c r="BP457" t="s">
        <v>241</v>
      </c>
      <c r="BQ457">
        <v>4</v>
      </c>
      <c r="BS457" t="s">
        <v>219</v>
      </c>
      <c r="BT457" t="s">
        <v>220</v>
      </c>
      <c r="BU457" t="s">
        <v>206</v>
      </c>
      <c r="BX457" t="s">
        <v>221</v>
      </c>
      <c r="BY457" t="s">
        <v>221</v>
      </c>
      <c r="CA457" t="s">
        <v>222</v>
      </c>
      <c r="CB457" t="s">
        <v>223</v>
      </c>
      <c r="CC457" t="s">
        <v>222</v>
      </c>
      <c r="CD457" t="s">
        <v>223</v>
      </c>
      <c r="CE457" t="s">
        <v>225</v>
      </c>
      <c r="CF457" t="s">
        <v>391</v>
      </c>
      <c r="CG457" t="s">
        <v>1414</v>
      </c>
      <c r="CH457" t="s">
        <v>209</v>
      </c>
      <c r="CI457" t="s">
        <v>1415</v>
      </c>
      <c r="CJ457" t="s">
        <v>206</v>
      </c>
      <c r="CK457" t="s">
        <v>230</v>
      </c>
      <c r="CL457" t="s">
        <v>231</v>
      </c>
      <c r="CM457" t="s">
        <v>232</v>
      </c>
      <c r="CN457" t="s">
        <v>233</v>
      </c>
      <c r="CP457" t="s">
        <v>212</v>
      </c>
      <c r="CQ457" t="s">
        <v>212</v>
      </c>
      <c r="CR457" t="s">
        <v>212</v>
      </c>
      <c r="CS457" t="s">
        <v>212</v>
      </c>
      <c r="CY457" t="s">
        <v>212</v>
      </c>
      <c r="DB457" t="s">
        <v>234</v>
      </c>
      <c r="DE457" t="s">
        <v>212</v>
      </c>
      <c r="DF457" t="s">
        <v>212</v>
      </c>
      <c r="DG457" t="s">
        <v>235</v>
      </c>
      <c r="DH457" t="s">
        <v>212</v>
      </c>
      <c r="DJ457" t="s">
        <v>421</v>
      </c>
      <c r="DK457" t="s">
        <v>707</v>
      </c>
      <c r="DL457" t="s">
        <v>423</v>
      </c>
      <c r="DM457" t="s">
        <v>206</v>
      </c>
    </row>
    <row r="458" spans="1:117" x14ac:dyDescent="0.3">
      <c r="A458">
        <v>355876</v>
      </c>
      <c r="B458">
        <v>283586</v>
      </c>
      <c r="C458" t="str">
        <f>"100127600151"</f>
        <v>100127600151</v>
      </c>
      <c r="D458" t="s">
        <v>1416</v>
      </c>
      <c r="E458" t="s">
        <v>1417</v>
      </c>
      <c r="F458" t="s">
        <v>406</v>
      </c>
      <c r="G458" s="1">
        <v>40205</v>
      </c>
      <c r="I458" t="s">
        <v>199</v>
      </c>
      <c r="J458" t="s">
        <v>200</v>
      </c>
      <c r="K458" t="s">
        <v>260</v>
      </c>
      <c r="Q458" t="s">
        <v>212</v>
      </c>
      <c r="R458" t="str">
        <f>"КАЗАХСТАН, АКМОЛИНСКАЯ, СТЕПНОГОРСК, 33, 137"</f>
        <v>КАЗАХСТАН, АКМОЛИНСКАЯ, СТЕПНОГОРСК, 33, 137</v>
      </c>
      <c r="S458" t="str">
        <f>"ҚАЗАҚСТАН, АҚМОЛА, СТЕПНОГОР, 33, 137"</f>
        <v>ҚАЗАҚСТАН, АҚМОЛА, СТЕПНОГОР, 33, 137</v>
      </c>
      <c r="T458" t="str">
        <f>"33, 137"</f>
        <v>33, 137</v>
      </c>
      <c r="U458" t="str">
        <f>"33, 137"</f>
        <v>33, 137</v>
      </c>
      <c r="AC458" t="str">
        <f>"2017-11-01T00:00:00"</f>
        <v>2017-11-01T00:00:00</v>
      </c>
      <c r="AD458" t="str">
        <f>"50"</f>
        <v>50</v>
      </c>
      <c r="AE458" t="str">
        <f>"2023-09-01T00:47:51"</f>
        <v>2023-09-01T00:47:51</v>
      </c>
      <c r="AF458" t="str">
        <f>"2024-05-25T00:47:51"</f>
        <v>2024-05-25T00:47:51</v>
      </c>
      <c r="AG458" t="s">
        <v>202</v>
      </c>
      <c r="AH458" t="str">
        <f>"ckool007@mail.ru"</f>
        <v>ckool007@mail.ru</v>
      </c>
      <c r="AI458" t="s">
        <v>299</v>
      </c>
      <c r="AJ458" t="s">
        <v>286</v>
      </c>
      <c r="AK458" t="s">
        <v>205</v>
      </c>
      <c r="AL458" t="s">
        <v>206</v>
      </c>
      <c r="AN458" t="s">
        <v>207</v>
      </c>
      <c r="AO458">
        <v>1</v>
      </c>
      <c r="AP458" t="s">
        <v>208</v>
      </c>
      <c r="AQ458" t="s">
        <v>209</v>
      </c>
      <c r="AR458" t="s">
        <v>210</v>
      </c>
      <c r="AW458" t="s">
        <v>206</v>
      </c>
      <c r="AX458" t="s">
        <v>211</v>
      </c>
      <c r="AZ458" t="s">
        <v>209</v>
      </c>
      <c r="BI458" t="s">
        <v>212</v>
      </c>
      <c r="BJ458" t="s">
        <v>213</v>
      </c>
      <c r="BK458" t="s">
        <v>214</v>
      </c>
      <c r="BL458" t="s">
        <v>215</v>
      </c>
      <c r="BN458" t="s">
        <v>216</v>
      </c>
      <c r="BO458" t="s">
        <v>209</v>
      </c>
      <c r="BP458" t="s">
        <v>217</v>
      </c>
      <c r="BQ458" t="s">
        <v>218</v>
      </c>
      <c r="BS458" t="s">
        <v>219</v>
      </c>
      <c r="BT458" t="s">
        <v>220</v>
      </c>
      <c r="BU458" t="s">
        <v>206</v>
      </c>
      <c r="BX458" t="s">
        <v>221</v>
      </c>
      <c r="BY458" t="s">
        <v>221</v>
      </c>
      <c r="CA458" t="s">
        <v>287</v>
      </c>
      <c r="CC458" t="s">
        <v>209</v>
      </c>
      <c r="CE458" t="s">
        <v>242</v>
      </c>
      <c r="CJ458" t="s">
        <v>206</v>
      </c>
      <c r="CK458" t="s">
        <v>230</v>
      </c>
      <c r="CL458" t="s">
        <v>231</v>
      </c>
      <c r="CM458" t="s">
        <v>232</v>
      </c>
      <c r="CN458" t="s">
        <v>233</v>
      </c>
      <c r="CP458" t="s">
        <v>212</v>
      </c>
      <c r="CQ458" t="s">
        <v>212</v>
      </c>
      <c r="CR458" t="s">
        <v>212</v>
      </c>
      <c r="CS458" t="s">
        <v>212</v>
      </c>
      <c r="CY458" t="s">
        <v>212</v>
      </c>
      <c r="DB458" t="s">
        <v>234</v>
      </c>
      <c r="DE458" t="s">
        <v>212</v>
      </c>
      <c r="DF458" t="s">
        <v>212</v>
      </c>
      <c r="DG458" t="s">
        <v>235</v>
      </c>
      <c r="DH458" t="s">
        <v>212</v>
      </c>
      <c r="DJ458" t="s">
        <v>236</v>
      </c>
      <c r="DM458" t="s">
        <v>212</v>
      </c>
    </row>
    <row r="459" spans="1:117" x14ac:dyDescent="0.3">
      <c r="A459">
        <v>355804</v>
      </c>
      <c r="B459">
        <v>321192</v>
      </c>
      <c r="C459" t="str">
        <f>"121003600181"</f>
        <v>121003600181</v>
      </c>
      <c r="D459" t="s">
        <v>704</v>
      </c>
      <c r="E459" t="s">
        <v>883</v>
      </c>
      <c r="F459" t="s">
        <v>1418</v>
      </c>
      <c r="G459" s="1">
        <v>41185</v>
      </c>
      <c r="I459" t="s">
        <v>199</v>
      </c>
      <c r="J459" t="s">
        <v>200</v>
      </c>
      <c r="K459" t="s">
        <v>201</v>
      </c>
      <c r="Q459" t="s">
        <v>212</v>
      </c>
      <c r="R459" t="str">
        <f>"КАЗАХСТАН, АКМОЛИНСКАЯ, СТЕПНОГОРСК, 36, 57"</f>
        <v>КАЗАХСТАН, АКМОЛИНСКАЯ, СТЕПНОГОРСК, 36, 57</v>
      </c>
      <c r="S459" t="str">
        <f>"ҚАЗАҚСТАН, АҚМОЛА, СТЕПНОГОР, 36, 57"</f>
        <v>ҚАЗАҚСТАН, АҚМОЛА, СТЕПНОГОР, 36, 57</v>
      </c>
      <c r="T459" t="str">
        <f>"36, 57"</f>
        <v>36, 57</v>
      </c>
      <c r="U459" t="str">
        <f>"36, 57"</f>
        <v>36, 57</v>
      </c>
      <c r="AC459" t="str">
        <f>"2018-08-29T00:00:00"</f>
        <v>2018-08-29T00:00:00</v>
      </c>
      <c r="AD459" t="str">
        <f>"139"</f>
        <v>139</v>
      </c>
      <c r="AE459" t="str">
        <f>"2023-09-01T17:16:32"</f>
        <v>2023-09-01T17:16:32</v>
      </c>
      <c r="AF459" t="str">
        <f>"2024-05-25T17:16:32"</f>
        <v>2024-05-25T17:16:32</v>
      </c>
      <c r="AG459" t="s">
        <v>202</v>
      </c>
      <c r="AI459" t="s">
        <v>299</v>
      </c>
      <c r="AJ459" t="s">
        <v>419</v>
      </c>
      <c r="AK459" t="s">
        <v>434</v>
      </c>
      <c r="AL459" t="s">
        <v>206</v>
      </c>
      <c r="AN459" t="s">
        <v>254</v>
      </c>
      <c r="AO459">
        <v>1</v>
      </c>
      <c r="AP459" t="s">
        <v>208</v>
      </c>
      <c r="AQ459" t="s">
        <v>209</v>
      </c>
      <c r="AR459" t="s">
        <v>210</v>
      </c>
      <c r="AW459" t="s">
        <v>206</v>
      </c>
      <c r="AX459" t="s">
        <v>211</v>
      </c>
      <c r="AZ459" t="s">
        <v>209</v>
      </c>
      <c r="BI459" t="s">
        <v>212</v>
      </c>
      <c r="BJ459" t="s">
        <v>213</v>
      </c>
      <c r="BK459" t="s">
        <v>214</v>
      </c>
      <c r="BL459" t="s">
        <v>215</v>
      </c>
      <c r="BN459" t="s">
        <v>216</v>
      </c>
      <c r="BO459" t="s">
        <v>209</v>
      </c>
      <c r="BP459" t="s">
        <v>241</v>
      </c>
      <c r="BQ459">
        <v>4</v>
      </c>
      <c r="BS459" t="s">
        <v>219</v>
      </c>
      <c r="BT459" t="s">
        <v>220</v>
      </c>
      <c r="BU459" t="s">
        <v>206</v>
      </c>
      <c r="BX459" t="s">
        <v>221</v>
      </c>
      <c r="BY459" t="s">
        <v>221</v>
      </c>
      <c r="CA459" t="s">
        <v>287</v>
      </c>
      <c r="CC459" t="s">
        <v>1419</v>
      </c>
      <c r="CD459" t="s">
        <v>223</v>
      </c>
      <c r="CE459" t="s">
        <v>242</v>
      </c>
      <c r="CJ459" t="s">
        <v>206</v>
      </c>
      <c r="CK459" t="s">
        <v>230</v>
      </c>
      <c r="CL459" t="s">
        <v>231</v>
      </c>
      <c r="CM459" t="s">
        <v>232</v>
      </c>
      <c r="CN459" t="s">
        <v>233</v>
      </c>
      <c r="CP459" t="s">
        <v>212</v>
      </c>
      <c r="CQ459" t="s">
        <v>212</v>
      </c>
      <c r="CR459" t="s">
        <v>212</v>
      </c>
      <c r="CS459" t="s">
        <v>212</v>
      </c>
      <c r="CY459" t="s">
        <v>212</v>
      </c>
      <c r="DB459" t="s">
        <v>234</v>
      </c>
      <c r="DE459" t="s">
        <v>212</v>
      </c>
      <c r="DF459" t="s">
        <v>212</v>
      </c>
      <c r="DG459" t="s">
        <v>235</v>
      </c>
      <c r="DH459" t="s">
        <v>212</v>
      </c>
      <c r="DI459" t="s">
        <v>1420</v>
      </c>
      <c r="DJ459" t="s">
        <v>1421</v>
      </c>
      <c r="DK459" t="s">
        <v>422</v>
      </c>
      <c r="DL459" t="s">
        <v>423</v>
      </c>
      <c r="DM459" t="s">
        <v>212</v>
      </c>
    </row>
    <row r="460" spans="1:117" x14ac:dyDescent="0.3">
      <c r="A460">
        <v>25955132</v>
      </c>
      <c r="B460">
        <v>9684598</v>
      </c>
      <c r="C460" t="str">
        <f>"180920504012"</f>
        <v>180920504012</v>
      </c>
      <c r="D460" t="s">
        <v>1422</v>
      </c>
      <c r="E460" t="s">
        <v>315</v>
      </c>
      <c r="F460" t="s">
        <v>1423</v>
      </c>
      <c r="G460" s="1">
        <v>43363</v>
      </c>
      <c r="I460" t="s">
        <v>240</v>
      </c>
      <c r="J460" t="s">
        <v>200</v>
      </c>
      <c r="K460" t="s">
        <v>201</v>
      </c>
      <c r="Q460" t="s">
        <v>212</v>
      </c>
      <c r="R460" t="str">
        <f>"КАЗАХСТАН, АКМОЛИНСКАЯ, СТЕПНОГОРСК, 44, 65"</f>
        <v>КАЗАХСТАН, АКМОЛИНСКАЯ, СТЕПНОГОРСК, 44, 65</v>
      </c>
      <c r="S460" t="str">
        <f>"ҚАЗАҚСТАН, АҚМОЛА, СТЕПНОГОР, 44, 65"</f>
        <v>ҚАЗАҚСТАН, АҚМОЛА, СТЕПНОГОР, 44, 65</v>
      </c>
      <c r="T460" t="str">
        <f>"44, 65"</f>
        <v>44, 65</v>
      </c>
      <c r="U460" t="str">
        <f>"44, 65"</f>
        <v>44, 65</v>
      </c>
      <c r="AC460" t="str">
        <f>"2023-08-25T00:00:00"</f>
        <v>2023-08-25T00:00:00</v>
      </c>
      <c r="AD460" t="str">
        <f>"202"</f>
        <v>202</v>
      </c>
      <c r="AG460" t="s">
        <v>202</v>
      </c>
      <c r="AI460" t="s">
        <v>299</v>
      </c>
      <c r="AJ460" t="s">
        <v>1298</v>
      </c>
      <c r="AK460" t="s">
        <v>253</v>
      </c>
      <c r="AL460" t="s">
        <v>206</v>
      </c>
      <c r="AN460" t="s">
        <v>254</v>
      </c>
      <c r="AO460">
        <v>2</v>
      </c>
      <c r="AP460" t="s">
        <v>208</v>
      </c>
      <c r="AQ460" t="s">
        <v>209</v>
      </c>
      <c r="AR460" t="s">
        <v>502</v>
      </c>
      <c r="AW460" t="s">
        <v>212</v>
      </c>
      <c r="AZ460" t="s">
        <v>209</v>
      </c>
      <c r="BI460" t="s">
        <v>212</v>
      </c>
      <c r="BJ460" t="s">
        <v>213</v>
      </c>
      <c r="BK460" t="s">
        <v>214</v>
      </c>
      <c r="BL460" t="s">
        <v>215</v>
      </c>
      <c r="BN460" t="s">
        <v>661</v>
      </c>
      <c r="BO460" t="s">
        <v>209</v>
      </c>
      <c r="BS460" t="s">
        <v>220</v>
      </c>
      <c r="CA460" t="s">
        <v>287</v>
      </c>
      <c r="CC460" t="s">
        <v>209</v>
      </c>
      <c r="CE460" t="s">
        <v>242</v>
      </c>
      <c r="CJ460" t="s">
        <v>206</v>
      </c>
      <c r="CK460" t="s">
        <v>230</v>
      </c>
      <c r="CL460" t="s">
        <v>231</v>
      </c>
      <c r="CM460" t="s">
        <v>232</v>
      </c>
      <c r="CN460" t="s">
        <v>233</v>
      </c>
      <c r="CP460" t="s">
        <v>212</v>
      </c>
      <c r="CQ460" t="s">
        <v>212</v>
      </c>
      <c r="CR460" t="s">
        <v>212</v>
      </c>
      <c r="CS460" t="s">
        <v>212</v>
      </c>
      <c r="CY460" t="s">
        <v>206</v>
      </c>
      <c r="CZ460" t="str">
        <f>"2022-11-25T00:00:00"</f>
        <v>2022-11-25T00:00:00</v>
      </c>
      <c r="DB460" t="s">
        <v>234</v>
      </c>
      <c r="DE460" t="s">
        <v>212</v>
      </c>
      <c r="DF460" t="s">
        <v>212</v>
      </c>
      <c r="DG460" t="s">
        <v>235</v>
      </c>
      <c r="DH460" t="s">
        <v>212</v>
      </c>
      <c r="DJ460" t="s">
        <v>236</v>
      </c>
      <c r="DM460" t="s">
        <v>212</v>
      </c>
    </row>
    <row r="461" spans="1:117" x14ac:dyDescent="0.3">
      <c r="A461">
        <v>355773</v>
      </c>
      <c r="B461">
        <v>321159</v>
      </c>
      <c r="C461" t="str">
        <f>"100717000058"</f>
        <v>100717000058</v>
      </c>
      <c r="D461" t="s">
        <v>1424</v>
      </c>
      <c r="E461" t="s">
        <v>1425</v>
      </c>
      <c r="F461" t="s">
        <v>1426</v>
      </c>
      <c r="G461" s="1">
        <v>40376</v>
      </c>
      <c r="I461" t="s">
        <v>199</v>
      </c>
      <c r="J461" t="s">
        <v>200</v>
      </c>
      <c r="K461" t="s">
        <v>201</v>
      </c>
      <c r="L461" t="s">
        <v>212</v>
      </c>
      <c r="R461" t="str">
        <f>"КАЗАХСТАН, АКМОЛИНСКАЯ, СТЕПНОГОРСК, 33, 49"</f>
        <v>КАЗАХСТАН, АКМОЛИНСКАЯ, СТЕПНОГОРСК, 33, 49</v>
      </c>
      <c r="S461" t="str">
        <f>"ҚАЗАҚСТАН, АҚМОЛА, СТЕПНОГОР, 33, 49"</f>
        <v>ҚАЗАҚСТАН, АҚМОЛА, СТЕПНОГОР, 33, 49</v>
      </c>
      <c r="T461" t="str">
        <f>"33, 49"</f>
        <v>33, 49</v>
      </c>
      <c r="U461" t="str">
        <f>"33, 49"</f>
        <v>33, 49</v>
      </c>
      <c r="AC461" t="str">
        <f>"2016-09-01T00:00:00"</f>
        <v>2016-09-01T00:00:00</v>
      </c>
      <c r="AD461" t="str">
        <f>"1"</f>
        <v>1</v>
      </c>
      <c r="AG461" t="s">
        <v>202</v>
      </c>
      <c r="AH461" t="str">
        <f>"milana@mail.ru"</f>
        <v>milana@mail.ru</v>
      </c>
      <c r="AI461" t="s">
        <v>274</v>
      </c>
      <c r="AJ461" t="s">
        <v>286</v>
      </c>
      <c r="AK461" t="s">
        <v>261</v>
      </c>
      <c r="AL461" t="s">
        <v>206</v>
      </c>
      <c r="AN461" t="s">
        <v>207</v>
      </c>
      <c r="AO461">
        <v>1</v>
      </c>
      <c r="AP461" t="s">
        <v>208</v>
      </c>
      <c r="AQ461" t="s">
        <v>209</v>
      </c>
      <c r="AR461" t="s">
        <v>210</v>
      </c>
      <c r="AW461" t="s">
        <v>206</v>
      </c>
      <c r="AX461" t="s">
        <v>211</v>
      </c>
      <c r="AZ461" t="s">
        <v>209</v>
      </c>
      <c r="BI461" t="s">
        <v>212</v>
      </c>
      <c r="BJ461" t="s">
        <v>213</v>
      </c>
      <c r="BK461" t="s">
        <v>214</v>
      </c>
      <c r="BL461" t="s">
        <v>215</v>
      </c>
      <c r="BN461" t="s">
        <v>216</v>
      </c>
      <c r="BO461" t="s">
        <v>209</v>
      </c>
      <c r="BP461" t="s">
        <v>241</v>
      </c>
      <c r="BQ461">
        <v>4</v>
      </c>
      <c r="BS461" t="s">
        <v>219</v>
      </c>
      <c r="BT461" t="s">
        <v>220</v>
      </c>
      <c r="BU461" t="s">
        <v>206</v>
      </c>
      <c r="BX461" t="s">
        <v>221</v>
      </c>
      <c r="BY461" t="s">
        <v>221</v>
      </c>
      <c r="CA461" t="s">
        <v>287</v>
      </c>
      <c r="CC461" t="s">
        <v>209</v>
      </c>
      <c r="CE461" t="s">
        <v>242</v>
      </c>
      <c r="CJ461" t="s">
        <v>206</v>
      </c>
      <c r="CK461" t="s">
        <v>230</v>
      </c>
      <c r="CL461" t="s">
        <v>231</v>
      </c>
      <c r="CM461" t="s">
        <v>232</v>
      </c>
      <c r="CN461" t="s">
        <v>233</v>
      </c>
      <c r="CP461" t="s">
        <v>212</v>
      </c>
      <c r="CQ461" t="s">
        <v>212</v>
      </c>
      <c r="CR461" t="s">
        <v>212</v>
      </c>
      <c r="CS461" t="s">
        <v>212</v>
      </c>
      <c r="CY461" t="s">
        <v>212</v>
      </c>
      <c r="DB461" t="s">
        <v>234</v>
      </c>
      <c r="DE461" t="s">
        <v>212</v>
      </c>
      <c r="DF461" t="s">
        <v>212</v>
      </c>
      <c r="DG461" t="s">
        <v>235</v>
      </c>
      <c r="DH461" t="s">
        <v>212</v>
      </c>
      <c r="DJ461" t="s">
        <v>236</v>
      </c>
      <c r="DM461" t="s">
        <v>212</v>
      </c>
    </row>
    <row r="462" spans="1:117" x14ac:dyDescent="0.3">
      <c r="A462">
        <v>26020800</v>
      </c>
      <c r="B462">
        <v>11437036</v>
      </c>
      <c r="C462" t="str">
        <f>"170119505044"</f>
        <v>170119505044</v>
      </c>
      <c r="D462" t="s">
        <v>1427</v>
      </c>
      <c r="E462" t="s">
        <v>1428</v>
      </c>
      <c r="F462" t="s">
        <v>1429</v>
      </c>
      <c r="G462" s="1">
        <v>42754</v>
      </c>
      <c r="I462" t="s">
        <v>240</v>
      </c>
      <c r="J462" t="s">
        <v>200</v>
      </c>
      <c r="K462" t="s">
        <v>201</v>
      </c>
      <c r="Q462" t="s">
        <v>212</v>
      </c>
      <c r="R462" t="str">
        <f>"КАЗАХСТАН, АКМОЛИНСКАЯ, СТЕПНОГОРСК, 89, 24"</f>
        <v>КАЗАХСТАН, АКМОЛИНСКАЯ, СТЕПНОГОРСК, 89, 24</v>
      </c>
      <c r="S462" t="str">
        <f>"ҚАЗАҚСТАН, АҚМОЛА, СТЕПНОГОР, 89, 24"</f>
        <v>ҚАЗАҚСТАН, АҚМОЛА, СТЕПНОГОР, 89, 24</v>
      </c>
      <c r="T462" t="str">
        <f>"89, 24"</f>
        <v>89, 24</v>
      </c>
      <c r="U462" t="str">
        <f>"89, 24"</f>
        <v>89, 24</v>
      </c>
      <c r="AC462" t="str">
        <f>"2023-08-25T00:00:00"</f>
        <v>2023-08-25T00:00:00</v>
      </c>
      <c r="AD462" t="str">
        <f>"201"</f>
        <v>201</v>
      </c>
      <c r="AE462" t="str">
        <f>"2023-09-01T13:39:54"</f>
        <v>2023-09-01T13:39:54</v>
      </c>
      <c r="AF462" t="str">
        <f>"2024-05-25T13:39:54"</f>
        <v>2024-05-25T13:39:54</v>
      </c>
      <c r="AG462" t="s">
        <v>202</v>
      </c>
      <c r="AI462" t="s">
        <v>269</v>
      </c>
      <c r="AJ462" t="s">
        <v>660</v>
      </c>
      <c r="AK462" t="s">
        <v>246</v>
      </c>
      <c r="AL462" t="s">
        <v>206</v>
      </c>
      <c r="AN462" t="s">
        <v>207</v>
      </c>
      <c r="AO462">
        <v>1</v>
      </c>
      <c r="AP462" t="s">
        <v>208</v>
      </c>
      <c r="AQ462" t="s">
        <v>209</v>
      </c>
      <c r="AR462" t="s">
        <v>502</v>
      </c>
      <c r="AW462" t="s">
        <v>212</v>
      </c>
      <c r="AZ462" t="s">
        <v>209</v>
      </c>
      <c r="BI462" t="s">
        <v>212</v>
      </c>
      <c r="BJ462" t="s">
        <v>213</v>
      </c>
      <c r="BK462" t="s">
        <v>214</v>
      </c>
      <c r="BL462" t="s">
        <v>357</v>
      </c>
      <c r="BN462" t="s">
        <v>661</v>
      </c>
      <c r="BO462" t="s">
        <v>209</v>
      </c>
      <c r="BS462" t="s">
        <v>220</v>
      </c>
      <c r="BU462" t="s">
        <v>212</v>
      </c>
      <c r="BZ462" t="s">
        <v>662</v>
      </c>
      <c r="CA462" t="s">
        <v>287</v>
      </c>
      <c r="CC462" t="s">
        <v>209</v>
      </c>
      <c r="CE462" t="s">
        <v>242</v>
      </c>
      <c r="CJ462" t="s">
        <v>206</v>
      </c>
      <c r="CK462" t="s">
        <v>230</v>
      </c>
      <c r="CL462" t="s">
        <v>231</v>
      </c>
      <c r="CM462" t="s">
        <v>232</v>
      </c>
      <c r="CN462" t="s">
        <v>233</v>
      </c>
      <c r="CP462" t="s">
        <v>212</v>
      </c>
      <c r="CQ462" t="s">
        <v>212</v>
      </c>
      <c r="CR462" t="s">
        <v>212</v>
      </c>
      <c r="CS462" t="s">
        <v>212</v>
      </c>
      <c r="CY462" t="s">
        <v>212</v>
      </c>
      <c r="DB462" t="s">
        <v>714</v>
      </c>
      <c r="DC462" t="str">
        <f>"№1922 Задержка психического  развития. Общее недоразвитие речи 2-3 уровня."</f>
        <v>№1922 Задержка психического  развития. Общее недоразвитие речи 2-3 уровня.</v>
      </c>
      <c r="DD462" t="str">
        <f>"2023-12-26T00:00:00"</f>
        <v>2023-12-26T00:00:00</v>
      </c>
      <c r="DE462" t="s">
        <v>212</v>
      </c>
      <c r="DF462" t="s">
        <v>206</v>
      </c>
      <c r="DG462" t="s">
        <v>235</v>
      </c>
      <c r="DH462" t="s">
        <v>212</v>
      </c>
      <c r="DJ462" t="s">
        <v>236</v>
      </c>
      <c r="DM462" t="s">
        <v>206</v>
      </c>
    </row>
    <row r="463" spans="1:117" x14ac:dyDescent="0.3">
      <c r="A463">
        <v>355493</v>
      </c>
      <c r="B463">
        <v>320905</v>
      </c>
      <c r="C463" t="str">
        <f>"100530550577"</f>
        <v>100530550577</v>
      </c>
      <c r="D463" t="s">
        <v>1430</v>
      </c>
      <c r="E463" t="s">
        <v>1431</v>
      </c>
      <c r="F463" t="s">
        <v>1432</v>
      </c>
      <c r="G463" s="1">
        <v>40328</v>
      </c>
      <c r="I463" t="s">
        <v>240</v>
      </c>
      <c r="J463" t="s">
        <v>200</v>
      </c>
      <c r="K463" t="s">
        <v>369</v>
      </c>
      <c r="R463" t="str">
        <f>"АНДОРРА, АКМОЛИНСКАЯ, СТЕПНОГОРСК, 23, 10"</f>
        <v>АНДОРРА, АКМОЛИНСКАЯ, СТЕПНОГОРСК, 23, 10</v>
      </c>
      <c r="S463" t="str">
        <f>"АНДОРРА, АҚМОЛА, СТЕПНОГОР, 23, 10"</f>
        <v>АНДОРРА, АҚМОЛА, СТЕПНОГОР, 23, 10</v>
      </c>
      <c r="T463" t="str">
        <f>"23, 10"</f>
        <v>23, 10</v>
      </c>
      <c r="U463" t="str">
        <f>"23, 10"</f>
        <v>23, 10</v>
      </c>
      <c r="AC463" t="str">
        <f>"2016-09-01T00:00:00"</f>
        <v>2016-09-01T00:00:00</v>
      </c>
      <c r="AD463" t="str">
        <f>"1"</f>
        <v>1</v>
      </c>
      <c r="AG463" t="s">
        <v>202</v>
      </c>
      <c r="AI463" t="s">
        <v>274</v>
      </c>
      <c r="AJ463" t="s">
        <v>300</v>
      </c>
      <c r="AK463" t="s">
        <v>261</v>
      </c>
      <c r="AL463" t="s">
        <v>206</v>
      </c>
      <c r="AN463" t="s">
        <v>207</v>
      </c>
      <c r="AO463">
        <v>1</v>
      </c>
      <c r="AP463" t="s">
        <v>208</v>
      </c>
      <c r="AQ463" t="s">
        <v>209</v>
      </c>
      <c r="AR463" t="s">
        <v>210</v>
      </c>
      <c r="AW463" t="s">
        <v>206</v>
      </c>
      <c r="AX463" t="s">
        <v>211</v>
      </c>
      <c r="AZ463" t="s">
        <v>209</v>
      </c>
      <c r="BI463" t="s">
        <v>212</v>
      </c>
      <c r="BJ463" t="s">
        <v>213</v>
      </c>
      <c r="BK463" t="s">
        <v>214</v>
      </c>
      <c r="BL463" t="s">
        <v>215</v>
      </c>
      <c r="BN463" t="s">
        <v>247</v>
      </c>
      <c r="BO463" t="s">
        <v>209</v>
      </c>
      <c r="BP463" t="s">
        <v>241</v>
      </c>
      <c r="BQ463">
        <v>3</v>
      </c>
      <c r="BS463" t="s">
        <v>219</v>
      </c>
      <c r="BT463" t="s">
        <v>220</v>
      </c>
      <c r="BU463" t="s">
        <v>206</v>
      </c>
      <c r="BX463" t="s">
        <v>234</v>
      </c>
      <c r="BY463" t="s">
        <v>234</v>
      </c>
      <c r="CA463" t="s">
        <v>222</v>
      </c>
      <c r="CB463" t="s">
        <v>223</v>
      </c>
      <c r="CC463" t="s">
        <v>404</v>
      </c>
      <c r="CD463" t="s">
        <v>223</v>
      </c>
      <c r="CE463" t="s">
        <v>242</v>
      </c>
      <c r="CJ463" t="s">
        <v>206</v>
      </c>
      <c r="CK463" t="s">
        <v>230</v>
      </c>
      <c r="CL463" t="s">
        <v>231</v>
      </c>
      <c r="CM463" t="s">
        <v>232</v>
      </c>
      <c r="CN463" t="s">
        <v>233</v>
      </c>
      <c r="CP463" t="s">
        <v>212</v>
      </c>
      <c r="CQ463" t="s">
        <v>212</v>
      </c>
      <c r="CR463" t="s">
        <v>212</v>
      </c>
      <c r="CS463" t="s">
        <v>212</v>
      </c>
      <c r="CY463" t="s">
        <v>212</v>
      </c>
      <c r="DB463" t="s">
        <v>234</v>
      </c>
      <c r="DE463" t="s">
        <v>212</v>
      </c>
      <c r="DF463" t="s">
        <v>212</v>
      </c>
      <c r="DG463" t="s">
        <v>235</v>
      </c>
      <c r="DH463" t="s">
        <v>212</v>
      </c>
      <c r="DJ463" t="s">
        <v>236</v>
      </c>
      <c r="DM463" t="s">
        <v>212</v>
      </c>
    </row>
    <row r="464" spans="1:117" x14ac:dyDescent="0.3">
      <c r="A464">
        <v>26020893</v>
      </c>
      <c r="B464">
        <v>13400159</v>
      </c>
      <c r="C464" t="str">
        <f>"170728501230"</f>
        <v>170728501230</v>
      </c>
      <c r="D464" t="s">
        <v>675</v>
      </c>
      <c r="E464" t="s">
        <v>679</v>
      </c>
      <c r="F464" t="s">
        <v>676</v>
      </c>
      <c r="G464" s="1">
        <v>42944</v>
      </c>
      <c r="I464" t="s">
        <v>240</v>
      </c>
      <c r="J464" t="s">
        <v>200</v>
      </c>
      <c r="K464" t="s">
        <v>260</v>
      </c>
      <c r="Q464" t="s">
        <v>212</v>
      </c>
      <c r="R464" t="str">
        <f>"КАЗАХСТАН, АКМОЛИНСКАЯ, СТЕПНОГОРСК, 49, 28"</f>
        <v>КАЗАХСТАН, АКМОЛИНСКАЯ, СТЕПНОГОРСК, 49, 28</v>
      </c>
      <c r="S464" t="str">
        <f>"ҚАЗАҚСТАН, АҚМОЛА, СТЕПНОГОР, 49, 28"</f>
        <v>ҚАЗАҚСТАН, АҚМОЛА, СТЕПНОГОР, 49, 28</v>
      </c>
      <c r="T464" t="str">
        <f>"49, 28"</f>
        <v>49, 28</v>
      </c>
      <c r="U464" t="str">
        <f>"49, 28"</f>
        <v>49, 28</v>
      </c>
      <c r="AC464" t="str">
        <f>"2023-08-25T00:00:00"</f>
        <v>2023-08-25T00:00:00</v>
      </c>
      <c r="AD464" t="str">
        <f>"201"</f>
        <v>201</v>
      </c>
      <c r="AG464" t="s">
        <v>202</v>
      </c>
      <c r="AI464" t="s">
        <v>274</v>
      </c>
      <c r="AJ464" t="s">
        <v>660</v>
      </c>
      <c r="AK464" t="s">
        <v>246</v>
      </c>
      <c r="AL464" t="s">
        <v>206</v>
      </c>
      <c r="AN464" t="s">
        <v>207</v>
      </c>
      <c r="AO464">
        <v>1</v>
      </c>
      <c r="AP464" t="s">
        <v>208</v>
      </c>
      <c r="AQ464" t="s">
        <v>209</v>
      </c>
      <c r="AR464" t="s">
        <v>502</v>
      </c>
      <c r="AW464" t="s">
        <v>212</v>
      </c>
      <c r="AZ464" t="s">
        <v>209</v>
      </c>
      <c r="BI464" t="s">
        <v>212</v>
      </c>
      <c r="BJ464" t="s">
        <v>213</v>
      </c>
      <c r="BK464" t="s">
        <v>214</v>
      </c>
      <c r="BL464" t="s">
        <v>357</v>
      </c>
      <c r="BN464" t="s">
        <v>661</v>
      </c>
      <c r="BO464" t="s">
        <v>209</v>
      </c>
      <c r="BS464" t="s">
        <v>220</v>
      </c>
      <c r="BU464" t="s">
        <v>212</v>
      </c>
      <c r="BZ464" t="s">
        <v>662</v>
      </c>
      <c r="CA464" t="s">
        <v>287</v>
      </c>
      <c r="CC464" t="s">
        <v>209</v>
      </c>
      <c r="CE464" t="s">
        <v>242</v>
      </c>
      <c r="CJ464" t="s">
        <v>206</v>
      </c>
      <c r="CK464" t="s">
        <v>230</v>
      </c>
      <c r="CL464" t="s">
        <v>231</v>
      </c>
      <c r="CM464" t="s">
        <v>232</v>
      </c>
      <c r="CN464" t="s">
        <v>233</v>
      </c>
      <c r="CP464" t="s">
        <v>212</v>
      </c>
      <c r="CQ464" t="s">
        <v>212</v>
      </c>
      <c r="CR464" t="s">
        <v>212</v>
      </c>
      <c r="CS464" t="s">
        <v>212</v>
      </c>
      <c r="CY464" t="s">
        <v>212</v>
      </c>
      <c r="DB464" t="s">
        <v>234</v>
      </c>
      <c r="DE464" t="s">
        <v>212</v>
      </c>
      <c r="DF464" t="s">
        <v>212</v>
      </c>
      <c r="DG464" t="s">
        <v>235</v>
      </c>
      <c r="DH464" t="s">
        <v>212</v>
      </c>
      <c r="DJ464" t="s">
        <v>236</v>
      </c>
      <c r="DM464" t="s">
        <v>206</v>
      </c>
    </row>
    <row r="465" spans="1:117" x14ac:dyDescent="0.3">
      <c r="A465">
        <v>355348</v>
      </c>
      <c r="B465">
        <v>320786</v>
      </c>
      <c r="C465" t="str">
        <f>"101126500606"</f>
        <v>101126500606</v>
      </c>
      <c r="D465" t="s">
        <v>958</v>
      </c>
      <c r="E465" t="s">
        <v>1433</v>
      </c>
      <c r="F465" t="s">
        <v>558</v>
      </c>
      <c r="G465" s="1">
        <v>40508</v>
      </c>
      <c r="I465" t="s">
        <v>240</v>
      </c>
      <c r="J465" t="s">
        <v>200</v>
      </c>
      <c r="K465" t="s">
        <v>268</v>
      </c>
      <c r="Q465" t="s">
        <v>212</v>
      </c>
      <c r="R465" t="str">
        <f>"КАЗАХСТАН, АКМОЛИНСКАЯ, СТЕПНОГОРСК, 33, 31"</f>
        <v>КАЗАХСТАН, АКМОЛИНСКАЯ, СТЕПНОГОРСК, 33, 31</v>
      </c>
      <c r="S465" t="str">
        <f>"ҚАЗАҚСТАН, АҚМОЛА, СТЕПНОГОР, 33, 31"</f>
        <v>ҚАЗАҚСТАН, АҚМОЛА, СТЕПНОГОР, 33, 31</v>
      </c>
      <c r="T465" t="str">
        <f>"33, 31"</f>
        <v>33, 31</v>
      </c>
      <c r="U465" t="str">
        <f>"33, 31"</f>
        <v>33, 31</v>
      </c>
      <c r="AC465" t="str">
        <f>"2016-09-01T00:00:00"</f>
        <v>2016-09-01T00:00:00</v>
      </c>
      <c r="AD465" t="str">
        <f>"1"</f>
        <v>1</v>
      </c>
      <c r="AG465" t="s">
        <v>202</v>
      </c>
      <c r="AI465" t="s">
        <v>274</v>
      </c>
      <c r="AJ465" t="s">
        <v>300</v>
      </c>
      <c r="AK465" t="s">
        <v>205</v>
      </c>
      <c r="AL465" t="s">
        <v>206</v>
      </c>
      <c r="AN465" t="s">
        <v>207</v>
      </c>
      <c r="AO465">
        <v>1</v>
      </c>
      <c r="AP465" t="s">
        <v>208</v>
      </c>
      <c r="AQ465" t="s">
        <v>209</v>
      </c>
      <c r="AR465" t="s">
        <v>210</v>
      </c>
      <c r="AW465" t="s">
        <v>206</v>
      </c>
      <c r="AX465" t="s">
        <v>211</v>
      </c>
      <c r="AZ465" t="s">
        <v>209</v>
      </c>
      <c r="BI465" t="s">
        <v>212</v>
      </c>
      <c r="BJ465" t="s">
        <v>213</v>
      </c>
      <c r="BK465" t="s">
        <v>214</v>
      </c>
      <c r="BL465" t="s">
        <v>215</v>
      </c>
      <c r="BN465" t="s">
        <v>247</v>
      </c>
      <c r="BO465" t="s">
        <v>209</v>
      </c>
      <c r="BP465" t="s">
        <v>241</v>
      </c>
      <c r="BQ465">
        <v>3</v>
      </c>
      <c r="BS465" t="s">
        <v>219</v>
      </c>
      <c r="BT465" t="s">
        <v>220</v>
      </c>
      <c r="BU465" t="s">
        <v>206</v>
      </c>
      <c r="BX465" t="s">
        <v>234</v>
      </c>
      <c r="BY465" t="s">
        <v>234</v>
      </c>
      <c r="CA465" t="s">
        <v>222</v>
      </c>
      <c r="CB465" t="s">
        <v>223</v>
      </c>
      <c r="CC465" t="s">
        <v>222</v>
      </c>
      <c r="CD465" t="s">
        <v>223</v>
      </c>
      <c r="CE465" t="s">
        <v>242</v>
      </c>
      <c r="CJ465" t="s">
        <v>206</v>
      </c>
      <c r="CK465" t="s">
        <v>230</v>
      </c>
      <c r="CL465" t="s">
        <v>231</v>
      </c>
      <c r="CM465" t="s">
        <v>232</v>
      </c>
      <c r="CN465" t="s">
        <v>233</v>
      </c>
      <c r="CP465" t="s">
        <v>212</v>
      </c>
      <c r="CQ465" t="s">
        <v>212</v>
      </c>
      <c r="CR465" t="s">
        <v>212</v>
      </c>
      <c r="CS465" t="s">
        <v>212</v>
      </c>
      <c r="CY465" t="s">
        <v>212</v>
      </c>
      <c r="DB465" t="s">
        <v>234</v>
      </c>
      <c r="DE465" t="s">
        <v>212</v>
      </c>
      <c r="DF465" t="s">
        <v>212</v>
      </c>
      <c r="DG465" t="s">
        <v>235</v>
      </c>
      <c r="DH465" t="s">
        <v>212</v>
      </c>
      <c r="DJ465" t="s">
        <v>421</v>
      </c>
      <c r="DK465" t="s">
        <v>707</v>
      </c>
      <c r="DL465" t="s">
        <v>423</v>
      </c>
      <c r="DM465" t="s">
        <v>206</v>
      </c>
    </row>
    <row r="466" spans="1:117" x14ac:dyDescent="0.3">
      <c r="A466">
        <v>355343</v>
      </c>
      <c r="B466">
        <v>320768</v>
      </c>
      <c r="C466" t="str">
        <f>"100426550313"</f>
        <v>100426550313</v>
      </c>
      <c r="D466" t="s">
        <v>1434</v>
      </c>
      <c r="E466" t="s">
        <v>743</v>
      </c>
      <c r="F466" t="s">
        <v>1435</v>
      </c>
      <c r="G466" s="1">
        <v>40294</v>
      </c>
      <c r="I466" t="s">
        <v>240</v>
      </c>
      <c r="J466" t="s">
        <v>200</v>
      </c>
      <c r="K466" t="s">
        <v>201</v>
      </c>
      <c r="Q466" t="s">
        <v>212</v>
      </c>
      <c r="R466" t="str">
        <f>"КАЗАХСТАН, АКМОЛИНСКАЯ, СТЕПНОГОРСК, 37, 119"</f>
        <v>КАЗАХСТАН, АКМОЛИНСКАЯ, СТЕПНОГОРСК, 37, 119</v>
      </c>
      <c r="S466" t="str">
        <f>"ҚАЗАҚСТАН, АҚМОЛА, СТЕПНОГОР, 37, 119"</f>
        <v>ҚАЗАҚСТАН, АҚМОЛА, СТЕПНОГОР, 37, 119</v>
      </c>
      <c r="T466" t="str">
        <f>"37, 119"</f>
        <v>37, 119</v>
      </c>
      <c r="U466" t="str">
        <f>"37, 119"</f>
        <v>37, 119</v>
      </c>
      <c r="AC466" t="str">
        <f>"2016-09-01T00:00:00"</f>
        <v>2016-09-01T00:00:00</v>
      </c>
      <c r="AD466" t="str">
        <f>"1"</f>
        <v>1</v>
      </c>
      <c r="AG466" t="s">
        <v>202</v>
      </c>
      <c r="AI466" t="s">
        <v>299</v>
      </c>
      <c r="AJ466" t="s">
        <v>300</v>
      </c>
      <c r="AK466" t="s">
        <v>205</v>
      </c>
      <c r="AL466" t="s">
        <v>206</v>
      </c>
      <c r="AN466" t="s">
        <v>207</v>
      </c>
      <c r="AO466">
        <v>1</v>
      </c>
      <c r="AP466" t="s">
        <v>208</v>
      </c>
      <c r="AQ466" t="s">
        <v>209</v>
      </c>
      <c r="AR466" t="s">
        <v>210</v>
      </c>
      <c r="AW466" t="s">
        <v>206</v>
      </c>
      <c r="AX466" t="s">
        <v>211</v>
      </c>
      <c r="AZ466" t="s">
        <v>209</v>
      </c>
      <c r="BI466" t="s">
        <v>212</v>
      </c>
      <c r="BJ466" t="s">
        <v>213</v>
      </c>
      <c r="BK466" t="s">
        <v>214</v>
      </c>
      <c r="BL466" t="s">
        <v>215</v>
      </c>
      <c r="BN466" t="s">
        <v>216</v>
      </c>
      <c r="BO466" t="s">
        <v>209</v>
      </c>
      <c r="BP466" t="s">
        <v>241</v>
      </c>
      <c r="BQ466">
        <v>4</v>
      </c>
      <c r="BS466" t="s">
        <v>219</v>
      </c>
      <c r="BT466" t="s">
        <v>220</v>
      </c>
      <c r="BU466" t="s">
        <v>206</v>
      </c>
      <c r="BX466" t="s">
        <v>221</v>
      </c>
      <c r="BY466" t="s">
        <v>221</v>
      </c>
      <c r="CA466" t="s">
        <v>222</v>
      </c>
      <c r="CB466" t="s">
        <v>223</v>
      </c>
      <c r="CC466" t="s">
        <v>301</v>
      </c>
      <c r="CD466" t="s">
        <v>223</v>
      </c>
      <c r="CE466" t="s">
        <v>831</v>
      </c>
      <c r="CF466" t="s">
        <v>816</v>
      </c>
      <c r="CG466" t="s">
        <v>832</v>
      </c>
      <c r="CH466" t="s">
        <v>1436</v>
      </c>
      <c r="CI466" t="s">
        <v>1437</v>
      </c>
      <c r="CJ466" t="s">
        <v>206</v>
      </c>
      <c r="CK466" t="s">
        <v>230</v>
      </c>
      <c r="CL466" t="s">
        <v>231</v>
      </c>
      <c r="CM466" t="s">
        <v>232</v>
      </c>
      <c r="CN466" t="s">
        <v>233</v>
      </c>
      <c r="CP466" t="s">
        <v>212</v>
      </c>
      <c r="CQ466" t="s">
        <v>212</v>
      </c>
      <c r="CR466" t="s">
        <v>212</v>
      </c>
      <c r="CS466" t="s">
        <v>212</v>
      </c>
      <c r="CY466" t="s">
        <v>212</v>
      </c>
      <c r="DB466" t="s">
        <v>234</v>
      </c>
      <c r="DE466" t="s">
        <v>212</v>
      </c>
      <c r="DF466" t="s">
        <v>212</v>
      </c>
      <c r="DG466" t="s">
        <v>235</v>
      </c>
      <c r="DH466" t="s">
        <v>212</v>
      </c>
      <c r="DJ466" t="s">
        <v>236</v>
      </c>
      <c r="DM466" t="s">
        <v>206</v>
      </c>
    </row>
    <row r="467" spans="1:117" x14ac:dyDescent="0.3">
      <c r="A467">
        <v>355306</v>
      </c>
      <c r="B467">
        <v>320733</v>
      </c>
      <c r="C467" t="str">
        <f>"110114601337"</f>
        <v>110114601337</v>
      </c>
      <c r="D467" t="s">
        <v>1438</v>
      </c>
      <c r="E467" t="s">
        <v>1439</v>
      </c>
      <c r="F467" t="s">
        <v>414</v>
      </c>
      <c r="G467" s="1">
        <v>40557</v>
      </c>
      <c r="I467" t="s">
        <v>199</v>
      </c>
      <c r="J467" t="s">
        <v>200</v>
      </c>
      <c r="K467" t="s">
        <v>260</v>
      </c>
      <c r="R467" t="str">
        <f>"КАЗАХСТАН, АКМОЛИНСКАЯ, СТЕПНОГОРСК, 33, 25"</f>
        <v>КАЗАХСТАН, АКМОЛИНСКАЯ, СТЕПНОГОРСК, 33, 25</v>
      </c>
      <c r="S467" t="str">
        <f>"ҚАЗАҚСТАН, АҚМОЛА, СТЕПНОГОР, 33, 25"</f>
        <v>ҚАЗАҚСТАН, АҚМОЛА, СТЕПНОГОР, 33, 25</v>
      </c>
      <c r="T467" t="str">
        <f>"33, 25"</f>
        <v>33, 25</v>
      </c>
      <c r="U467" t="str">
        <f>"33, 25"</f>
        <v>33, 25</v>
      </c>
      <c r="AC467" t="str">
        <f>"2017-08-29T00:00:00"</f>
        <v>2017-08-29T00:00:00</v>
      </c>
      <c r="AD467" t="str">
        <f>"112"</f>
        <v>112</v>
      </c>
      <c r="AG467" t="s">
        <v>202</v>
      </c>
      <c r="AI467" t="s">
        <v>274</v>
      </c>
      <c r="AJ467" t="s">
        <v>300</v>
      </c>
      <c r="AK467" t="s">
        <v>261</v>
      </c>
      <c r="AL467" t="s">
        <v>206</v>
      </c>
      <c r="AN467" t="s">
        <v>207</v>
      </c>
      <c r="AO467">
        <v>1</v>
      </c>
      <c r="AP467" t="s">
        <v>208</v>
      </c>
      <c r="AQ467" t="s">
        <v>209</v>
      </c>
      <c r="AR467" t="s">
        <v>210</v>
      </c>
      <c r="AW467" t="s">
        <v>206</v>
      </c>
      <c r="AX467" t="s">
        <v>211</v>
      </c>
      <c r="AZ467" t="s">
        <v>209</v>
      </c>
      <c r="BI467" t="s">
        <v>212</v>
      </c>
      <c r="BJ467" t="s">
        <v>213</v>
      </c>
      <c r="BK467" t="s">
        <v>214</v>
      </c>
      <c r="BL467" t="s">
        <v>215</v>
      </c>
      <c r="BN467" t="s">
        <v>247</v>
      </c>
      <c r="BO467" t="s">
        <v>209</v>
      </c>
      <c r="BP467" t="s">
        <v>241</v>
      </c>
      <c r="BQ467">
        <v>3</v>
      </c>
      <c r="BS467" t="s">
        <v>219</v>
      </c>
      <c r="BT467" t="s">
        <v>220</v>
      </c>
      <c r="BU467" t="s">
        <v>206</v>
      </c>
      <c r="BX467" t="s">
        <v>221</v>
      </c>
      <c r="BY467" t="s">
        <v>221</v>
      </c>
      <c r="CA467" t="s">
        <v>222</v>
      </c>
      <c r="CB467" t="s">
        <v>223</v>
      </c>
      <c r="CC467" t="s">
        <v>222</v>
      </c>
      <c r="CD467" t="s">
        <v>223</v>
      </c>
      <c r="CE467" t="s">
        <v>242</v>
      </c>
      <c r="CJ467" t="s">
        <v>206</v>
      </c>
      <c r="CK467" t="s">
        <v>230</v>
      </c>
      <c r="CL467" t="s">
        <v>231</v>
      </c>
      <c r="CM467" t="s">
        <v>232</v>
      </c>
      <c r="CN467" t="s">
        <v>233</v>
      </c>
      <c r="CP467" t="s">
        <v>212</v>
      </c>
      <c r="CQ467" t="s">
        <v>212</v>
      </c>
      <c r="CR467" t="s">
        <v>212</v>
      </c>
      <c r="CS467" t="s">
        <v>212</v>
      </c>
      <c r="CY467" t="s">
        <v>212</v>
      </c>
      <c r="DB467" t="s">
        <v>234</v>
      </c>
      <c r="DE467" t="s">
        <v>212</v>
      </c>
      <c r="DF467" t="s">
        <v>212</v>
      </c>
      <c r="DG467" t="s">
        <v>235</v>
      </c>
      <c r="DH467" t="s">
        <v>212</v>
      </c>
      <c r="DJ467" t="s">
        <v>236</v>
      </c>
      <c r="DM467" t="s">
        <v>212</v>
      </c>
    </row>
    <row r="468" spans="1:117" x14ac:dyDescent="0.3">
      <c r="A468">
        <v>355234</v>
      </c>
      <c r="B468">
        <v>320678</v>
      </c>
      <c r="C468" t="str">
        <f>"090311500028"</f>
        <v>090311500028</v>
      </c>
      <c r="D468" t="s">
        <v>1440</v>
      </c>
      <c r="E468" t="s">
        <v>888</v>
      </c>
      <c r="F468" t="s">
        <v>1441</v>
      </c>
      <c r="G468" s="1">
        <v>39883</v>
      </c>
      <c r="I468" t="s">
        <v>240</v>
      </c>
      <c r="J468" t="s">
        <v>200</v>
      </c>
      <c r="K468" t="s">
        <v>201</v>
      </c>
      <c r="R468" t="str">
        <f>"АНДОРРА, АКМОЛИНСКАЯ, СТЕПНОГОРСК, -, 67, 25"</f>
        <v>АНДОРРА, АКМОЛИНСКАЯ, СТЕПНОГОРСК, -, 67, 25</v>
      </c>
      <c r="S468" t="str">
        <f>"АНДОРРА, АҚМОЛА, СТЕПНОГОР, -, 67, 25"</f>
        <v>АНДОРРА, АҚМОЛА, СТЕПНОГОР, -, 67, 25</v>
      </c>
      <c r="T468" t="str">
        <f>"-, 67, 25"</f>
        <v>-, 67, 25</v>
      </c>
      <c r="U468" t="str">
        <f>"-, 67, 25"</f>
        <v>-, 67, 25</v>
      </c>
      <c r="AC468" t="str">
        <f>"2016-09-01T00:00:00"</f>
        <v>2016-09-01T00:00:00</v>
      </c>
      <c r="AD468" t="str">
        <f>"1"</f>
        <v>1</v>
      </c>
      <c r="AG468" t="s">
        <v>202</v>
      </c>
      <c r="AH468" t="str">
        <f>"ckool007@mail.ru"</f>
        <v>ckool007@mail.ru</v>
      </c>
      <c r="AI468" t="s">
        <v>274</v>
      </c>
      <c r="AJ468" t="s">
        <v>286</v>
      </c>
      <c r="AK468" t="s">
        <v>253</v>
      </c>
      <c r="AL468" t="s">
        <v>206</v>
      </c>
      <c r="AN468" t="s">
        <v>254</v>
      </c>
      <c r="AO468">
        <v>1</v>
      </c>
      <c r="AP468" t="s">
        <v>208</v>
      </c>
      <c r="AQ468" t="s">
        <v>209</v>
      </c>
      <c r="AR468" t="s">
        <v>210</v>
      </c>
      <c r="AW468" t="s">
        <v>206</v>
      </c>
      <c r="AX468" t="s">
        <v>211</v>
      </c>
      <c r="AZ468" t="s">
        <v>209</v>
      </c>
      <c r="BI468" t="s">
        <v>212</v>
      </c>
      <c r="BJ468" t="s">
        <v>213</v>
      </c>
      <c r="BK468" t="s">
        <v>214</v>
      </c>
      <c r="BL468" t="s">
        <v>215</v>
      </c>
      <c r="BN468" t="s">
        <v>216</v>
      </c>
      <c r="BO468" t="s">
        <v>209</v>
      </c>
      <c r="BP468" t="s">
        <v>241</v>
      </c>
      <c r="BQ468">
        <v>5</v>
      </c>
      <c r="BS468" t="s">
        <v>219</v>
      </c>
      <c r="BT468" t="s">
        <v>220</v>
      </c>
      <c r="BU468" t="s">
        <v>206</v>
      </c>
      <c r="BX468" t="s">
        <v>221</v>
      </c>
      <c r="BY468" t="s">
        <v>221</v>
      </c>
      <c r="CA468" t="s">
        <v>256</v>
      </c>
      <c r="CB468" t="s">
        <v>223</v>
      </c>
      <c r="CC468" t="s">
        <v>256</v>
      </c>
      <c r="CD468" t="s">
        <v>223</v>
      </c>
      <c r="CE468" t="s">
        <v>242</v>
      </c>
      <c r="CJ468" t="s">
        <v>206</v>
      </c>
      <c r="CK468" t="s">
        <v>230</v>
      </c>
      <c r="CL468" t="s">
        <v>231</v>
      </c>
      <c r="CM468" t="s">
        <v>232</v>
      </c>
      <c r="CN468" t="s">
        <v>233</v>
      </c>
      <c r="CP468" t="s">
        <v>212</v>
      </c>
      <c r="CQ468" t="s">
        <v>212</v>
      </c>
      <c r="CR468" t="s">
        <v>212</v>
      </c>
      <c r="CS468" t="s">
        <v>212</v>
      </c>
      <c r="CY468" t="s">
        <v>212</v>
      </c>
      <c r="DB468" t="s">
        <v>234</v>
      </c>
      <c r="DE468" t="s">
        <v>212</v>
      </c>
      <c r="DF468" t="s">
        <v>212</v>
      </c>
      <c r="DG468" t="s">
        <v>235</v>
      </c>
      <c r="DH468" t="s">
        <v>212</v>
      </c>
      <c r="DJ468" t="s">
        <v>236</v>
      </c>
      <c r="DM468" t="s">
        <v>212</v>
      </c>
    </row>
    <row r="469" spans="1:117" x14ac:dyDescent="0.3">
      <c r="A469">
        <v>26146593</v>
      </c>
      <c r="B469">
        <v>13418966</v>
      </c>
      <c r="C469" t="str">
        <f>"090608050089"</f>
        <v>090608050089</v>
      </c>
      <c r="D469" t="s">
        <v>1442</v>
      </c>
      <c r="E469" t="s">
        <v>1443</v>
      </c>
      <c r="F469" t="s">
        <v>1444</v>
      </c>
      <c r="G469" s="1">
        <v>39972</v>
      </c>
      <c r="I469" t="s">
        <v>240</v>
      </c>
      <c r="J469" t="s">
        <v>757</v>
      </c>
      <c r="K469" t="s">
        <v>201</v>
      </c>
      <c r="L469" t="s">
        <v>212</v>
      </c>
      <c r="Q469" t="s">
        <v>206</v>
      </c>
      <c r="R469" t="str">
        <f>"-"</f>
        <v>-</v>
      </c>
      <c r="S469" t="str">
        <f>"-"</f>
        <v>-</v>
      </c>
      <c r="T469" t="str">
        <f>"-"</f>
        <v>-</v>
      </c>
      <c r="U469" t="str">
        <f>"-"</f>
        <v>-</v>
      </c>
      <c r="AC469" t="str">
        <f>"2023-08-31T00:00:00"</f>
        <v>2023-08-31T00:00:00</v>
      </c>
      <c r="AD469" t="str">
        <f>"63"</f>
        <v>63</v>
      </c>
      <c r="AG469" t="s">
        <v>530</v>
      </c>
      <c r="AH469" t="str">
        <f>"eldos@mail.ru"</f>
        <v>eldos@mail.ru</v>
      </c>
      <c r="AI469" t="s">
        <v>274</v>
      </c>
      <c r="AJ469" t="s">
        <v>286</v>
      </c>
      <c r="AK469" t="s">
        <v>253</v>
      </c>
      <c r="AL469" t="s">
        <v>206</v>
      </c>
      <c r="AN469" t="s">
        <v>254</v>
      </c>
      <c r="AO469">
        <v>1</v>
      </c>
      <c r="AP469" t="s">
        <v>208</v>
      </c>
      <c r="AQ469" t="s">
        <v>209</v>
      </c>
      <c r="AR469" t="s">
        <v>210</v>
      </c>
      <c r="AW469" t="s">
        <v>206</v>
      </c>
      <c r="AX469" t="s">
        <v>211</v>
      </c>
      <c r="AZ469" t="s">
        <v>209</v>
      </c>
      <c r="BI469" t="s">
        <v>212</v>
      </c>
      <c r="BJ469" t="s">
        <v>213</v>
      </c>
      <c r="BK469" t="s">
        <v>214</v>
      </c>
      <c r="BL469" t="s">
        <v>215</v>
      </c>
      <c r="BN469" t="s">
        <v>247</v>
      </c>
      <c r="BO469" t="s">
        <v>209</v>
      </c>
      <c r="BP469" t="s">
        <v>217</v>
      </c>
      <c r="BQ469" t="s">
        <v>830</v>
      </c>
      <c r="BS469" t="s">
        <v>219</v>
      </c>
      <c r="BT469" t="s">
        <v>220</v>
      </c>
      <c r="BU469" t="s">
        <v>206</v>
      </c>
      <c r="CA469" t="s">
        <v>287</v>
      </c>
      <c r="CC469" t="s">
        <v>209</v>
      </c>
      <c r="CE469" t="s">
        <v>242</v>
      </c>
      <c r="CJ469" t="s">
        <v>206</v>
      </c>
      <c r="CK469" t="s">
        <v>230</v>
      </c>
      <c r="CL469" t="s">
        <v>231</v>
      </c>
      <c r="CM469" t="s">
        <v>232</v>
      </c>
      <c r="CN469" t="s">
        <v>233</v>
      </c>
      <c r="CP469" t="s">
        <v>212</v>
      </c>
      <c r="CQ469" t="s">
        <v>212</v>
      </c>
      <c r="CR469" t="s">
        <v>212</v>
      </c>
      <c r="CS469" t="s">
        <v>212</v>
      </c>
      <c r="CY469" t="s">
        <v>212</v>
      </c>
      <c r="DB469" t="s">
        <v>234</v>
      </c>
      <c r="DE469" t="s">
        <v>212</v>
      </c>
      <c r="DF469" t="s">
        <v>212</v>
      </c>
      <c r="DG469" t="s">
        <v>235</v>
      </c>
      <c r="DH469" t="s">
        <v>212</v>
      </c>
      <c r="DJ469" t="s">
        <v>236</v>
      </c>
      <c r="DM469" t="s">
        <v>212</v>
      </c>
    </row>
    <row r="470" spans="1:117" x14ac:dyDescent="0.3">
      <c r="A470">
        <v>355196</v>
      </c>
      <c r="B470">
        <v>320645</v>
      </c>
      <c r="C470" t="str">
        <f>"100606651455"</f>
        <v>100606651455</v>
      </c>
      <c r="D470" t="s">
        <v>777</v>
      </c>
      <c r="E470" t="s">
        <v>1445</v>
      </c>
      <c r="F470" t="s">
        <v>1446</v>
      </c>
      <c r="G470" s="1">
        <v>40335</v>
      </c>
      <c r="I470" t="s">
        <v>199</v>
      </c>
      <c r="J470" t="s">
        <v>200</v>
      </c>
      <c r="K470" t="s">
        <v>201</v>
      </c>
      <c r="R470" t="str">
        <f>"АНДОРРА, АКМОЛИНСКАЯ, СТЕПНОГОРСК, 37, 3"</f>
        <v>АНДОРРА, АКМОЛИНСКАЯ, СТЕПНОГОРСК, 37, 3</v>
      </c>
      <c r="S470" t="str">
        <f>"АНДОРРА, АҚМОЛА, СТЕПНОГОР, 37, 3"</f>
        <v>АНДОРРА, АҚМОЛА, СТЕПНОГОР, 37, 3</v>
      </c>
      <c r="T470" t="str">
        <f>"37, 3"</f>
        <v>37, 3</v>
      </c>
      <c r="U470" t="str">
        <f>"37, 3"</f>
        <v>37, 3</v>
      </c>
      <c r="AC470" t="str">
        <f>"2016-09-01T00:00:00"</f>
        <v>2016-09-01T00:00:00</v>
      </c>
      <c r="AD470" t="str">
        <f>"1"</f>
        <v>1</v>
      </c>
      <c r="AG470" t="s">
        <v>202</v>
      </c>
      <c r="AH470" t="str">
        <f>"ckool007@mail.ru"</f>
        <v>ckool007@mail.ru</v>
      </c>
      <c r="AI470" t="s">
        <v>274</v>
      </c>
      <c r="AJ470" t="s">
        <v>286</v>
      </c>
      <c r="AK470" t="s">
        <v>253</v>
      </c>
      <c r="AL470" t="s">
        <v>206</v>
      </c>
      <c r="AN470" t="s">
        <v>254</v>
      </c>
      <c r="AO470">
        <v>1</v>
      </c>
      <c r="AP470" t="s">
        <v>208</v>
      </c>
      <c r="AQ470" t="s">
        <v>209</v>
      </c>
      <c r="AR470" t="s">
        <v>210</v>
      </c>
      <c r="AV470" t="str">
        <f>"2021-01-19T11:30:13"</f>
        <v>2021-01-19T11:30:13</v>
      </c>
      <c r="AW470" t="s">
        <v>206</v>
      </c>
      <c r="AX470" t="s">
        <v>211</v>
      </c>
      <c r="AZ470" t="s">
        <v>209</v>
      </c>
      <c r="BI470" t="s">
        <v>212</v>
      </c>
      <c r="BJ470" t="s">
        <v>213</v>
      </c>
      <c r="BK470" t="s">
        <v>214</v>
      </c>
      <c r="BL470" t="s">
        <v>215</v>
      </c>
      <c r="BN470" t="s">
        <v>216</v>
      </c>
      <c r="BO470" t="s">
        <v>209</v>
      </c>
      <c r="BP470" t="s">
        <v>241</v>
      </c>
      <c r="BQ470">
        <v>4</v>
      </c>
      <c r="BS470" t="s">
        <v>219</v>
      </c>
      <c r="BT470" t="s">
        <v>220</v>
      </c>
      <c r="BU470" t="s">
        <v>206</v>
      </c>
      <c r="BX470" t="s">
        <v>221</v>
      </c>
      <c r="BY470" t="s">
        <v>221</v>
      </c>
      <c r="CA470" t="s">
        <v>256</v>
      </c>
      <c r="CB470" t="s">
        <v>223</v>
      </c>
      <c r="CC470" t="s">
        <v>209</v>
      </c>
      <c r="CE470" t="s">
        <v>242</v>
      </c>
      <c r="CJ470" t="s">
        <v>206</v>
      </c>
      <c r="CK470" t="s">
        <v>230</v>
      </c>
      <c r="CL470" t="s">
        <v>231</v>
      </c>
      <c r="CM470" t="s">
        <v>232</v>
      </c>
      <c r="CN470" t="s">
        <v>233</v>
      </c>
      <c r="CP470" t="s">
        <v>212</v>
      </c>
      <c r="CQ470" t="s">
        <v>212</v>
      </c>
      <c r="CR470" t="s">
        <v>212</v>
      </c>
      <c r="CS470" t="s">
        <v>212</v>
      </c>
      <c r="CY470" t="s">
        <v>212</v>
      </c>
      <c r="DB470" t="s">
        <v>234</v>
      </c>
      <c r="DE470" t="s">
        <v>212</v>
      </c>
      <c r="DF470" t="s">
        <v>212</v>
      </c>
      <c r="DG470" t="s">
        <v>235</v>
      </c>
      <c r="DH470" t="s">
        <v>212</v>
      </c>
      <c r="DJ470" t="s">
        <v>236</v>
      </c>
      <c r="DM470" t="s">
        <v>212</v>
      </c>
    </row>
    <row r="471" spans="1:117" x14ac:dyDescent="0.3">
      <c r="A471">
        <v>355148</v>
      </c>
      <c r="B471">
        <v>320600</v>
      </c>
      <c r="C471" t="str">
        <f>"121231501361"</f>
        <v>121231501361</v>
      </c>
      <c r="D471" t="s">
        <v>1447</v>
      </c>
      <c r="E471" t="s">
        <v>1071</v>
      </c>
      <c r="F471" t="s">
        <v>1448</v>
      </c>
      <c r="G471" s="1">
        <v>41274</v>
      </c>
      <c r="I471" t="s">
        <v>240</v>
      </c>
      <c r="J471" t="s">
        <v>200</v>
      </c>
      <c r="K471" t="s">
        <v>201</v>
      </c>
      <c r="Q471" t="s">
        <v>212</v>
      </c>
      <c r="R471" t="str">
        <f>"КАЗАХСТАН, АКМОЛИНСКАЯ, СТЕПНОГОРСК, 83А"</f>
        <v>КАЗАХСТАН, АКМОЛИНСКАЯ, СТЕПНОГОРСК, 83А</v>
      </c>
      <c r="S471" t="str">
        <f>"ҚАЗАҚСТАН, АҚМОЛА, СТЕПНОГОР, 83А"</f>
        <v>ҚАЗАҚСТАН, АҚМОЛА, СТЕПНОГОР, 83А</v>
      </c>
      <c r="T471" t="str">
        <f>"83А"</f>
        <v>83А</v>
      </c>
      <c r="U471" t="str">
        <f>"83А"</f>
        <v>83А</v>
      </c>
      <c r="AC471" t="str">
        <f>"2019-08-29T00:00:00"</f>
        <v>2019-08-29T00:00:00</v>
      </c>
      <c r="AD471" t="str">
        <f>"1"</f>
        <v>1</v>
      </c>
      <c r="AG471" t="s">
        <v>202</v>
      </c>
      <c r="AI471" t="s">
        <v>299</v>
      </c>
      <c r="AJ471" t="s">
        <v>419</v>
      </c>
      <c r="AK471" t="s">
        <v>261</v>
      </c>
      <c r="AL471" t="s">
        <v>206</v>
      </c>
      <c r="AN471" t="s">
        <v>207</v>
      </c>
      <c r="AO471">
        <v>1</v>
      </c>
      <c r="AP471" t="s">
        <v>208</v>
      </c>
      <c r="AQ471" t="s">
        <v>209</v>
      </c>
      <c r="AR471" t="s">
        <v>210</v>
      </c>
      <c r="AW471" t="s">
        <v>206</v>
      </c>
      <c r="AX471" t="s">
        <v>211</v>
      </c>
      <c r="AZ471" t="s">
        <v>209</v>
      </c>
      <c r="BI471" t="s">
        <v>212</v>
      </c>
      <c r="BJ471" t="s">
        <v>213</v>
      </c>
      <c r="BK471" t="s">
        <v>214</v>
      </c>
      <c r="BL471" t="s">
        <v>215</v>
      </c>
      <c r="BN471" t="s">
        <v>281</v>
      </c>
      <c r="BO471" t="s">
        <v>209</v>
      </c>
      <c r="BP471" t="s">
        <v>241</v>
      </c>
      <c r="BQ471">
        <v>5</v>
      </c>
      <c r="BS471" t="s">
        <v>219</v>
      </c>
      <c r="BT471" t="s">
        <v>220</v>
      </c>
      <c r="BU471" t="s">
        <v>206</v>
      </c>
      <c r="BX471" t="s">
        <v>221</v>
      </c>
      <c r="BY471" t="s">
        <v>221</v>
      </c>
      <c r="CA471" t="s">
        <v>287</v>
      </c>
      <c r="CC471" t="s">
        <v>222</v>
      </c>
      <c r="CD471" t="s">
        <v>223</v>
      </c>
      <c r="CE471" t="s">
        <v>242</v>
      </c>
      <c r="CJ471" t="s">
        <v>206</v>
      </c>
      <c r="CK471" t="s">
        <v>230</v>
      </c>
      <c r="CL471" t="s">
        <v>231</v>
      </c>
      <c r="CM471" t="s">
        <v>232</v>
      </c>
      <c r="CN471" t="s">
        <v>233</v>
      </c>
      <c r="CP471" t="s">
        <v>212</v>
      </c>
      <c r="CQ471" t="s">
        <v>212</v>
      </c>
      <c r="CR471" t="s">
        <v>212</v>
      </c>
      <c r="CS471" t="s">
        <v>212</v>
      </c>
      <c r="CY471" t="s">
        <v>212</v>
      </c>
      <c r="DB471" t="s">
        <v>234</v>
      </c>
      <c r="DE471" t="s">
        <v>212</v>
      </c>
      <c r="DF471" t="s">
        <v>212</v>
      </c>
      <c r="DG471" t="s">
        <v>235</v>
      </c>
      <c r="DH471" t="s">
        <v>212</v>
      </c>
      <c r="DJ471" t="s">
        <v>236</v>
      </c>
      <c r="DM471" t="s">
        <v>206</v>
      </c>
    </row>
    <row r="472" spans="1:117" x14ac:dyDescent="0.3">
      <c r="A472">
        <v>355120</v>
      </c>
      <c r="B472">
        <v>320574</v>
      </c>
      <c r="C472" t="str">
        <f>"100822553073"</f>
        <v>100822553073</v>
      </c>
      <c r="D472" t="s">
        <v>1449</v>
      </c>
      <c r="E472" t="s">
        <v>1106</v>
      </c>
      <c r="F472" t="s">
        <v>1450</v>
      </c>
      <c r="G472" s="1">
        <v>40412</v>
      </c>
      <c r="I472" t="s">
        <v>240</v>
      </c>
      <c r="J472" t="s">
        <v>200</v>
      </c>
      <c r="K472" t="s">
        <v>201</v>
      </c>
      <c r="R472" t="str">
        <f>"АНДОРРА, АКМОЛИНСКАЯ, СТЕПНОГОРСК, 21, 50"</f>
        <v>АНДОРРА, АКМОЛИНСКАЯ, СТЕПНОГОРСК, 21, 50</v>
      </c>
      <c r="S472" t="str">
        <f>"АНДОРРА, АҚМОЛА, СТЕПНОГОР, 21, 50"</f>
        <v>АНДОРРА, АҚМОЛА, СТЕПНОГОР, 21, 50</v>
      </c>
      <c r="T472" t="str">
        <f>"21, 50"</f>
        <v>21, 50</v>
      </c>
      <c r="U472" t="str">
        <f>"21, 50"</f>
        <v>21, 50</v>
      </c>
      <c r="AC472" t="str">
        <f>"2016-09-01T00:00:00"</f>
        <v>2016-09-01T00:00:00</v>
      </c>
      <c r="AD472" t="str">
        <f>"1"</f>
        <v>1</v>
      </c>
      <c r="AG472" t="s">
        <v>202</v>
      </c>
      <c r="AI472" t="s">
        <v>269</v>
      </c>
      <c r="AJ472" t="s">
        <v>300</v>
      </c>
      <c r="AK472" t="s">
        <v>253</v>
      </c>
      <c r="AL472" t="s">
        <v>206</v>
      </c>
      <c r="AN472" t="s">
        <v>254</v>
      </c>
      <c r="AO472">
        <v>1</v>
      </c>
      <c r="AP472" t="s">
        <v>208</v>
      </c>
      <c r="AQ472" t="s">
        <v>209</v>
      </c>
      <c r="AR472" t="s">
        <v>210</v>
      </c>
      <c r="AW472" t="s">
        <v>206</v>
      </c>
      <c r="AX472" t="s">
        <v>211</v>
      </c>
      <c r="AZ472" t="s">
        <v>209</v>
      </c>
      <c r="BI472" t="s">
        <v>212</v>
      </c>
      <c r="BJ472" t="s">
        <v>213</v>
      </c>
      <c r="BK472" t="s">
        <v>214</v>
      </c>
      <c r="BL472" t="s">
        <v>215</v>
      </c>
      <c r="BN472" t="s">
        <v>281</v>
      </c>
      <c r="BO472" t="s">
        <v>209</v>
      </c>
      <c r="BP472" t="s">
        <v>241</v>
      </c>
      <c r="BQ472">
        <v>5</v>
      </c>
      <c r="BS472" t="s">
        <v>219</v>
      </c>
      <c r="BT472" t="s">
        <v>220</v>
      </c>
      <c r="BU472" t="s">
        <v>206</v>
      </c>
      <c r="BX472" t="s">
        <v>221</v>
      </c>
      <c r="BY472" t="s">
        <v>221</v>
      </c>
      <c r="CA472" t="s">
        <v>222</v>
      </c>
      <c r="CB472" t="s">
        <v>223</v>
      </c>
      <c r="CC472" t="s">
        <v>256</v>
      </c>
      <c r="CD472" t="s">
        <v>223</v>
      </c>
      <c r="CE472" t="s">
        <v>242</v>
      </c>
      <c r="CJ472" t="s">
        <v>206</v>
      </c>
      <c r="CK472" t="s">
        <v>230</v>
      </c>
      <c r="CL472" t="s">
        <v>231</v>
      </c>
      <c r="CM472" t="s">
        <v>232</v>
      </c>
      <c r="CN472" t="s">
        <v>233</v>
      </c>
      <c r="CP472" t="s">
        <v>212</v>
      </c>
      <c r="CQ472" t="s">
        <v>212</v>
      </c>
      <c r="CR472" t="s">
        <v>212</v>
      </c>
      <c r="CS472" t="s">
        <v>212</v>
      </c>
      <c r="CY472" t="s">
        <v>212</v>
      </c>
      <c r="DB472" t="s">
        <v>234</v>
      </c>
      <c r="DE472" t="s">
        <v>212</v>
      </c>
      <c r="DF472" t="s">
        <v>212</v>
      </c>
      <c r="DG472" t="s">
        <v>235</v>
      </c>
      <c r="DH472" t="s">
        <v>212</v>
      </c>
      <c r="DJ472" t="s">
        <v>236</v>
      </c>
      <c r="DM472" t="s">
        <v>212</v>
      </c>
    </row>
    <row r="473" spans="1:117" x14ac:dyDescent="0.3">
      <c r="A473">
        <v>355091</v>
      </c>
      <c r="B473">
        <v>320550</v>
      </c>
      <c r="C473" t="str">
        <f>"100525552596"</f>
        <v>100525552596</v>
      </c>
      <c r="D473" t="s">
        <v>1451</v>
      </c>
      <c r="E473" t="s">
        <v>1452</v>
      </c>
      <c r="F473" t="s">
        <v>294</v>
      </c>
      <c r="G473" s="1">
        <v>40323</v>
      </c>
      <c r="I473" t="s">
        <v>240</v>
      </c>
      <c r="J473" t="s">
        <v>200</v>
      </c>
      <c r="K473" t="s">
        <v>1184</v>
      </c>
      <c r="R473" t="str">
        <f>"АНДОРРА, АКМОЛИНСКАЯ, СТЕПНОГОРСК, 40, 20"</f>
        <v>АНДОРРА, АКМОЛИНСКАЯ, СТЕПНОГОРСК, 40, 20</v>
      </c>
      <c r="S473" t="str">
        <f>"АНДОРРА, АҚМОЛА, СТЕПНОГОР, 40, 20"</f>
        <v>АНДОРРА, АҚМОЛА, СТЕПНОГОР, 40, 20</v>
      </c>
      <c r="T473" t="str">
        <f>"40, 20"</f>
        <v>40, 20</v>
      </c>
      <c r="U473" t="str">
        <f>"40, 20"</f>
        <v>40, 20</v>
      </c>
      <c r="AC473" t="str">
        <f>"2016-09-01T00:00:00"</f>
        <v>2016-09-01T00:00:00</v>
      </c>
      <c r="AD473" t="str">
        <f>"1"</f>
        <v>1</v>
      </c>
      <c r="AG473" t="s">
        <v>202</v>
      </c>
      <c r="AI473" t="s">
        <v>274</v>
      </c>
      <c r="AJ473" t="s">
        <v>300</v>
      </c>
      <c r="AK473" t="s">
        <v>261</v>
      </c>
      <c r="AL473" t="s">
        <v>206</v>
      </c>
      <c r="AN473" t="s">
        <v>207</v>
      </c>
      <c r="AO473">
        <v>1</v>
      </c>
      <c r="AP473" t="s">
        <v>208</v>
      </c>
      <c r="AQ473" t="s">
        <v>209</v>
      </c>
      <c r="AR473" t="s">
        <v>210</v>
      </c>
      <c r="AW473" t="s">
        <v>206</v>
      </c>
      <c r="AX473" t="s">
        <v>211</v>
      </c>
      <c r="AZ473" t="s">
        <v>209</v>
      </c>
      <c r="BI473" t="s">
        <v>212</v>
      </c>
      <c r="BJ473" t="s">
        <v>213</v>
      </c>
      <c r="BK473" t="s">
        <v>214</v>
      </c>
      <c r="BL473" t="s">
        <v>215</v>
      </c>
      <c r="BN473" t="s">
        <v>247</v>
      </c>
      <c r="BO473" t="s">
        <v>209</v>
      </c>
      <c r="BP473" t="s">
        <v>241</v>
      </c>
      <c r="BQ473">
        <v>3</v>
      </c>
      <c r="BS473" t="s">
        <v>219</v>
      </c>
      <c r="BT473" t="s">
        <v>220</v>
      </c>
      <c r="BU473" t="s">
        <v>206</v>
      </c>
      <c r="BX473" t="s">
        <v>234</v>
      </c>
      <c r="BY473" t="s">
        <v>234</v>
      </c>
      <c r="CA473" t="s">
        <v>222</v>
      </c>
      <c r="CB473" t="s">
        <v>223</v>
      </c>
      <c r="CC473" t="s">
        <v>404</v>
      </c>
      <c r="CD473" t="s">
        <v>223</v>
      </c>
      <c r="CE473" t="s">
        <v>242</v>
      </c>
      <c r="CJ473" t="s">
        <v>206</v>
      </c>
      <c r="CK473" t="s">
        <v>230</v>
      </c>
      <c r="CL473" t="s">
        <v>231</v>
      </c>
      <c r="CM473" t="s">
        <v>232</v>
      </c>
      <c r="CN473" t="s">
        <v>233</v>
      </c>
      <c r="CP473" t="s">
        <v>212</v>
      </c>
      <c r="CQ473" t="s">
        <v>212</v>
      </c>
      <c r="CR473" t="s">
        <v>212</v>
      </c>
      <c r="CS473" t="s">
        <v>212</v>
      </c>
      <c r="CY473" t="s">
        <v>212</v>
      </c>
      <c r="DB473" t="s">
        <v>234</v>
      </c>
      <c r="DE473" t="s">
        <v>212</v>
      </c>
      <c r="DF473" t="s">
        <v>212</v>
      </c>
      <c r="DG473" t="s">
        <v>235</v>
      </c>
      <c r="DH473" t="s">
        <v>212</v>
      </c>
      <c r="DJ473" t="s">
        <v>236</v>
      </c>
      <c r="DM473" t="s">
        <v>212</v>
      </c>
    </row>
    <row r="474" spans="1:117" x14ac:dyDescent="0.3">
      <c r="A474">
        <v>26434982</v>
      </c>
      <c r="B474">
        <v>183971</v>
      </c>
      <c r="C474" t="str">
        <f>"100525655206"</f>
        <v>100525655206</v>
      </c>
      <c r="D474" t="s">
        <v>1388</v>
      </c>
      <c r="E474" t="s">
        <v>1401</v>
      </c>
      <c r="F474" t="s">
        <v>574</v>
      </c>
      <c r="G474" s="1">
        <v>40323</v>
      </c>
      <c r="I474" t="s">
        <v>199</v>
      </c>
      <c r="J474" t="s">
        <v>200</v>
      </c>
      <c r="K474" t="s">
        <v>260</v>
      </c>
      <c r="Q474" t="s">
        <v>212</v>
      </c>
      <c r="R474" t="str">
        <f>"КАЗАХСТАН, АКМОЛИНСКАЯ, СТЕПНОГОРСК, Бестобе, 12"</f>
        <v>КАЗАХСТАН, АКМОЛИНСКАЯ, СТЕПНОГОРСК, Бестобе, 12</v>
      </c>
      <c r="S474" t="str">
        <f>"ҚАЗАҚСТАН, АҚМОЛА, СТЕПНОГОР, Бестобе, 12"</f>
        <v>ҚАЗАҚСТАН, АҚМОЛА, СТЕПНОГОР, Бестобе, 12</v>
      </c>
      <c r="T474" t="str">
        <f>"Бестобе, 12"</f>
        <v>Бестобе, 12</v>
      </c>
      <c r="U474" t="str">
        <f>"Бестобе, 12"</f>
        <v>Бестобе, 12</v>
      </c>
      <c r="AC474" t="str">
        <f>"2023-09-18T00:00:00"</f>
        <v>2023-09-18T00:00:00</v>
      </c>
      <c r="AD474" t="str">
        <f>"83"</f>
        <v>83</v>
      </c>
      <c r="AG474" t="s">
        <v>333</v>
      </c>
      <c r="AI474" t="s">
        <v>269</v>
      </c>
      <c r="AJ474" t="s">
        <v>300</v>
      </c>
      <c r="AK474" t="s">
        <v>246</v>
      </c>
      <c r="AL474" t="s">
        <v>206</v>
      </c>
      <c r="AN474" t="s">
        <v>207</v>
      </c>
      <c r="AO474">
        <v>1</v>
      </c>
      <c r="AP474" t="s">
        <v>208</v>
      </c>
      <c r="AQ474" t="s">
        <v>209</v>
      </c>
      <c r="AR474" t="s">
        <v>210</v>
      </c>
      <c r="AW474" t="s">
        <v>206</v>
      </c>
      <c r="AX474" t="s">
        <v>211</v>
      </c>
      <c r="AZ474" t="s">
        <v>209</v>
      </c>
      <c r="BI474" t="s">
        <v>212</v>
      </c>
      <c r="BJ474" t="s">
        <v>213</v>
      </c>
      <c r="BK474" t="s">
        <v>214</v>
      </c>
      <c r="BL474" t="s">
        <v>215</v>
      </c>
      <c r="BN474" t="s">
        <v>247</v>
      </c>
      <c r="BO474" t="s">
        <v>209</v>
      </c>
      <c r="BP474" t="s">
        <v>241</v>
      </c>
      <c r="BQ474">
        <v>3</v>
      </c>
      <c r="BS474" t="s">
        <v>219</v>
      </c>
      <c r="BT474" t="s">
        <v>220</v>
      </c>
      <c r="BU474" t="s">
        <v>206</v>
      </c>
      <c r="CA474" t="s">
        <v>287</v>
      </c>
      <c r="CC474" t="s">
        <v>209</v>
      </c>
      <c r="CE474" t="s">
        <v>242</v>
      </c>
      <c r="CJ474" t="s">
        <v>206</v>
      </c>
      <c r="CK474" t="s">
        <v>230</v>
      </c>
      <c r="CL474" t="s">
        <v>231</v>
      </c>
      <c r="CM474" t="s">
        <v>232</v>
      </c>
      <c r="CN474" t="s">
        <v>233</v>
      </c>
      <c r="CP474" t="s">
        <v>212</v>
      </c>
      <c r="CQ474" t="s">
        <v>212</v>
      </c>
      <c r="CR474" t="s">
        <v>212</v>
      </c>
      <c r="CS474" t="s">
        <v>212</v>
      </c>
      <c r="CY474" t="s">
        <v>212</v>
      </c>
      <c r="DB474" t="s">
        <v>234</v>
      </c>
      <c r="DE474" t="s">
        <v>212</v>
      </c>
      <c r="DF474" t="s">
        <v>212</v>
      </c>
      <c r="DG474" t="s">
        <v>235</v>
      </c>
      <c r="DH474" t="s">
        <v>212</v>
      </c>
      <c r="DJ474" t="s">
        <v>236</v>
      </c>
      <c r="DM474" t="s">
        <v>212</v>
      </c>
    </row>
    <row r="475" spans="1:117" x14ac:dyDescent="0.3">
      <c r="A475">
        <v>26435006</v>
      </c>
      <c r="B475">
        <v>12828091</v>
      </c>
      <c r="C475" t="str">
        <f>"160423502744"</f>
        <v>160423502744</v>
      </c>
      <c r="D475" t="s">
        <v>1453</v>
      </c>
      <c r="E475" t="s">
        <v>978</v>
      </c>
      <c r="F475" t="s">
        <v>942</v>
      </c>
      <c r="G475" s="1">
        <v>42483</v>
      </c>
      <c r="I475" t="s">
        <v>240</v>
      </c>
      <c r="J475" t="s">
        <v>200</v>
      </c>
      <c r="K475" t="s">
        <v>260</v>
      </c>
      <c r="Q475" t="s">
        <v>212</v>
      </c>
      <c r="R475" t="str">
        <f>"КАЗАХСТАН, АКМОЛИНСКАЯ, СТЕПНОГОРСК, Бестобе, 12"</f>
        <v>КАЗАХСТАН, АКМОЛИНСКАЯ, СТЕПНОГОРСК, Бестобе, 12</v>
      </c>
      <c r="S475" t="str">
        <f>"ҚАЗАҚСТАН, АҚМОЛА, СТЕПНОГОР, Бестобе, 12"</f>
        <v>ҚАЗАҚСТАН, АҚМОЛА, СТЕПНОГОР, Бестобе, 12</v>
      </c>
      <c r="T475" t="str">
        <f>"Бестобе, 12"</f>
        <v>Бестобе, 12</v>
      </c>
      <c r="U475" t="str">
        <f>"Бестобе, 12"</f>
        <v>Бестобе, 12</v>
      </c>
      <c r="AC475" t="str">
        <f>"2023-09-18T00:00:00"</f>
        <v>2023-09-18T00:00:00</v>
      </c>
      <c r="AD475" t="str">
        <f>"83"</f>
        <v>83</v>
      </c>
      <c r="AG475" t="s">
        <v>333</v>
      </c>
      <c r="AI475" t="s">
        <v>274</v>
      </c>
      <c r="AJ475" t="s">
        <v>660</v>
      </c>
      <c r="AK475" t="s">
        <v>246</v>
      </c>
      <c r="AL475" t="s">
        <v>206</v>
      </c>
      <c r="AN475" t="s">
        <v>207</v>
      </c>
      <c r="AO475">
        <v>1</v>
      </c>
      <c r="AP475" t="s">
        <v>208</v>
      </c>
      <c r="AQ475" t="s">
        <v>209</v>
      </c>
      <c r="AR475" t="s">
        <v>502</v>
      </c>
      <c r="AW475" t="s">
        <v>212</v>
      </c>
      <c r="AZ475" t="s">
        <v>209</v>
      </c>
      <c r="BI475" t="s">
        <v>212</v>
      </c>
      <c r="BJ475" t="s">
        <v>213</v>
      </c>
      <c r="BK475" t="s">
        <v>214</v>
      </c>
      <c r="BL475" t="s">
        <v>357</v>
      </c>
      <c r="BN475" t="s">
        <v>661</v>
      </c>
      <c r="BO475" t="s">
        <v>209</v>
      </c>
      <c r="BS475" t="s">
        <v>220</v>
      </c>
      <c r="BU475" t="s">
        <v>212</v>
      </c>
      <c r="BZ475" t="s">
        <v>662</v>
      </c>
      <c r="CA475" t="s">
        <v>287</v>
      </c>
      <c r="CC475" t="s">
        <v>209</v>
      </c>
      <c r="CE475" t="s">
        <v>242</v>
      </c>
      <c r="CJ475" t="s">
        <v>206</v>
      </c>
      <c r="CK475" t="s">
        <v>230</v>
      </c>
      <c r="CL475" t="s">
        <v>231</v>
      </c>
      <c r="CM475" t="s">
        <v>232</v>
      </c>
      <c r="CN475" t="s">
        <v>233</v>
      </c>
      <c r="CP475" t="s">
        <v>212</v>
      </c>
      <c r="CQ475" t="s">
        <v>212</v>
      </c>
      <c r="CR475" t="s">
        <v>212</v>
      </c>
      <c r="CS475" t="s">
        <v>212</v>
      </c>
      <c r="CY475" t="s">
        <v>212</v>
      </c>
      <c r="DB475" t="s">
        <v>234</v>
      </c>
      <c r="DE475" t="s">
        <v>212</v>
      </c>
      <c r="DF475" t="s">
        <v>212</v>
      </c>
      <c r="DG475" t="s">
        <v>235</v>
      </c>
      <c r="DH475" t="s">
        <v>212</v>
      </c>
      <c r="DJ475" t="s">
        <v>236</v>
      </c>
      <c r="DM475" t="s">
        <v>212</v>
      </c>
    </row>
    <row r="476" spans="1:117" x14ac:dyDescent="0.3">
      <c r="A476">
        <v>354811</v>
      </c>
      <c r="B476">
        <v>320307</v>
      </c>
      <c r="C476" t="str">
        <f>"101101000053"</f>
        <v>101101000053</v>
      </c>
      <c r="D476" t="s">
        <v>1454</v>
      </c>
      <c r="E476" t="s">
        <v>1434</v>
      </c>
      <c r="F476" t="s">
        <v>1455</v>
      </c>
      <c r="G476" s="1">
        <v>40483</v>
      </c>
      <c r="I476" t="s">
        <v>240</v>
      </c>
      <c r="J476" t="s">
        <v>757</v>
      </c>
      <c r="K476" t="s">
        <v>201</v>
      </c>
      <c r="L476" t="s">
        <v>212</v>
      </c>
      <c r="Q476" t="s">
        <v>212</v>
      </c>
      <c r="R476" t="str">
        <f>"АНДОРРА, АКМОЛИНСКАЯ, СТЕПНОГОРСК, СТЕПНОГОРСК, 67, 75"</f>
        <v>АНДОРРА, АКМОЛИНСКАЯ, СТЕПНОГОРСК, СТЕПНОГОРСК, 67, 75</v>
      </c>
      <c r="S476" t="str">
        <f>"АНДОРРА, АҚМОЛА, СТЕПНОГОР, СТЕПНОГОРСК, 67, 75"</f>
        <v>АНДОРРА, АҚМОЛА, СТЕПНОГОР, СТЕПНОГОРСК, 67, 75</v>
      </c>
      <c r="T476" t="str">
        <f>"СТЕПНОГОРСК, 67, 75"</f>
        <v>СТЕПНОГОРСК, 67, 75</v>
      </c>
      <c r="U476" t="str">
        <f>"СТЕПНОГОРСК, 67, 75"</f>
        <v>СТЕПНОГОРСК, 67, 75</v>
      </c>
      <c r="AC476" t="str">
        <f>"2017-08-29T00:00:00"</f>
        <v>2017-08-29T00:00:00</v>
      </c>
      <c r="AD476" t="str">
        <f>"112"</f>
        <v>112</v>
      </c>
      <c r="AE476" t="str">
        <f>"2023-09-01T00:25:36"</f>
        <v>2023-09-01T00:25:36</v>
      </c>
      <c r="AF476" t="str">
        <f>"2024-05-25T00:25:36"</f>
        <v>2024-05-25T00:25:36</v>
      </c>
      <c r="AG476" t="s">
        <v>202</v>
      </c>
      <c r="AI476" t="s">
        <v>269</v>
      </c>
      <c r="AJ476" t="s">
        <v>300</v>
      </c>
      <c r="AK476" t="s">
        <v>253</v>
      </c>
      <c r="AL476" t="s">
        <v>206</v>
      </c>
      <c r="AN476" t="s">
        <v>254</v>
      </c>
      <c r="AO476">
        <v>1</v>
      </c>
      <c r="AP476" t="s">
        <v>208</v>
      </c>
      <c r="AQ476" t="s">
        <v>209</v>
      </c>
      <c r="AR476" t="s">
        <v>210</v>
      </c>
      <c r="AW476" t="s">
        <v>206</v>
      </c>
      <c r="AX476" t="s">
        <v>211</v>
      </c>
      <c r="AZ476" t="s">
        <v>209</v>
      </c>
      <c r="BI476" t="s">
        <v>212</v>
      </c>
      <c r="BJ476" t="s">
        <v>213</v>
      </c>
      <c r="BK476" t="s">
        <v>214</v>
      </c>
      <c r="BL476" t="s">
        <v>215</v>
      </c>
      <c r="BN476" t="s">
        <v>216</v>
      </c>
      <c r="BO476" t="s">
        <v>209</v>
      </c>
      <c r="BP476" t="s">
        <v>241</v>
      </c>
      <c r="BQ476">
        <v>4</v>
      </c>
      <c r="BS476" t="s">
        <v>219</v>
      </c>
      <c r="BT476" t="s">
        <v>220</v>
      </c>
      <c r="BU476" t="s">
        <v>206</v>
      </c>
      <c r="BX476" t="s">
        <v>221</v>
      </c>
      <c r="BY476" t="s">
        <v>221</v>
      </c>
      <c r="CA476" t="s">
        <v>222</v>
      </c>
      <c r="CB476" t="s">
        <v>223</v>
      </c>
      <c r="CC476" t="s">
        <v>222</v>
      </c>
      <c r="CD476" t="s">
        <v>223</v>
      </c>
      <c r="CE476" t="s">
        <v>242</v>
      </c>
      <c r="CJ476" t="s">
        <v>206</v>
      </c>
      <c r="CK476" t="s">
        <v>230</v>
      </c>
      <c r="CL476" t="s">
        <v>231</v>
      </c>
      <c r="CM476" t="s">
        <v>232</v>
      </c>
      <c r="CN476" t="s">
        <v>233</v>
      </c>
      <c r="CP476" t="s">
        <v>212</v>
      </c>
      <c r="CQ476" t="s">
        <v>212</v>
      </c>
      <c r="CR476" t="s">
        <v>212</v>
      </c>
      <c r="CS476" t="s">
        <v>212</v>
      </c>
      <c r="CY476" t="s">
        <v>212</v>
      </c>
      <c r="DB476" t="s">
        <v>234</v>
      </c>
      <c r="DE476" t="s">
        <v>212</v>
      </c>
      <c r="DF476" t="s">
        <v>212</v>
      </c>
      <c r="DG476" t="s">
        <v>235</v>
      </c>
      <c r="DH476" t="s">
        <v>212</v>
      </c>
      <c r="DJ476" t="s">
        <v>236</v>
      </c>
      <c r="DM476" t="s">
        <v>212</v>
      </c>
    </row>
    <row r="477" spans="1:117" x14ac:dyDescent="0.3">
      <c r="A477">
        <v>354782</v>
      </c>
      <c r="B477">
        <v>320283</v>
      </c>
      <c r="C477" t="str">
        <f>"110225000027"</f>
        <v>110225000027</v>
      </c>
      <c r="D477" t="s">
        <v>335</v>
      </c>
      <c r="E477" t="s">
        <v>1456</v>
      </c>
      <c r="F477" t="s">
        <v>337</v>
      </c>
      <c r="G477" s="1">
        <v>40599</v>
      </c>
      <c r="I477" t="s">
        <v>199</v>
      </c>
      <c r="J477" t="s">
        <v>200</v>
      </c>
      <c r="K477" t="s">
        <v>201</v>
      </c>
      <c r="R477" t="str">
        <f>"АНДОРРА, АКМОЛИНСКАЯ, СТЕПНОГОРСК, 10, 5"</f>
        <v>АНДОРРА, АКМОЛИНСКАЯ, СТЕПНОГОРСК, 10, 5</v>
      </c>
      <c r="S477" t="str">
        <f>"АНДОРРА, АҚМОЛА, СТЕПНОГОР, 10, 5"</f>
        <v>АНДОРРА, АҚМОЛА, СТЕПНОГОР, 10, 5</v>
      </c>
      <c r="T477" t="str">
        <f>"10, 5"</f>
        <v>10, 5</v>
      </c>
      <c r="U477" t="str">
        <f>"10, 5"</f>
        <v>10, 5</v>
      </c>
      <c r="AC477" t="str">
        <f>"2017-08-29T00:00:00"</f>
        <v>2017-08-29T00:00:00</v>
      </c>
      <c r="AD477" t="str">
        <f>"112"</f>
        <v>112</v>
      </c>
      <c r="AG477" t="s">
        <v>202</v>
      </c>
      <c r="AI477" t="s">
        <v>274</v>
      </c>
      <c r="AJ477" t="s">
        <v>300</v>
      </c>
      <c r="AK477" t="s">
        <v>253</v>
      </c>
      <c r="AL477" t="s">
        <v>206</v>
      </c>
      <c r="AN477" t="s">
        <v>254</v>
      </c>
      <c r="AO477">
        <v>1</v>
      </c>
      <c r="AP477" t="s">
        <v>208</v>
      </c>
      <c r="AQ477" t="s">
        <v>209</v>
      </c>
      <c r="AR477" t="s">
        <v>210</v>
      </c>
      <c r="AW477" t="s">
        <v>206</v>
      </c>
      <c r="AX477" t="s">
        <v>211</v>
      </c>
      <c r="AZ477" t="s">
        <v>209</v>
      </c>
      <c r="BI477" t="s">
        <v>212</v>
      </c>
      <c r="BJ477" t="s">
        <v>213</v>
      </c>
      <c r="BK477" t="s">
        <v>214</v>
      </c>
      <c r="BL477" t="s">
        <v>215</v>
      </c>
      <c r="BN477" t="s">
        <v>216</v>
      </c>
      <c r="BO477" t="s">
        <v>209</v>
      </c>
      <c r="BP477" t="s">
        <v>241</v>
      </c>
      <c r="BQ477">
        <v>4</v>
      </c>
      <c r="BS477" t="s">
        <v>219</v>
      </c>
      <c r="BT477" t="s">
        <v>220</v>
      </c>
      <c r="BU477" t="s">
        <v>206</v>
      </c>
      <c r="BX477" t="s">
        <v>221</v>
      </c>
      <c r="BY477" t="s">
        <v>221</v>
      </c>
      <c r="CA477" t="s">
        <v>287</v>
      </c>
      <c r="CC477" t="s">
        <v>334</v>
      </c>
      <c r="CD477" t="s">
        <v>223</v>
      </c>
      <c r="CE477" t="s">
        <v>242</v>
      </c>
      <c r="CJ477" t="s">
        <v>206</v>
      </c>
      <c r="CK477" t="s">
        <v>230</v>
      </c>
      <c r="CL477" t="s">
        <v>231</v>
      </c>
      <c r="CM477" t="s">
        <v>232</v>
      </c>
      <c r="CN477" t="s">
        <v>233</v>
      </c>
      <c r="CP477" t="s">
        <v>212</v>
      </c>
      <c r="CQ477" t="s">
        <v>212</v>
      </c>
      <c r="CR477" t="s">
        <v>212</v>
      </c>
      <c r="CS477" t="s">
        <v>212</v>
      </c>
      <c r="CY477" t="s">
        <v>212</v>
      </c>
      <c r="DB477" t="s">
        <v>234</v>
      </c>
      <c r="DE477" t="s">
        <v>212</v>
      </c>
      <c r="DF477" t="s">
        <v>212</v>
      </c>
      <c r="DG477" t="s">
        <v>235</v>
      </c>
      <c r="DH477" t="s">
        <v>212</v>
      </c>
      <c r="DJ477" t="s">
        <v>236</v>
      </c>
      <c r="DM477" t="s">
        <v>206</v>
      </c>
    </row>
    <row r="478" spans="1:117" x14ac:dyDescent="0.3">
      <c r="A478">
        <v>354729</v>
      </c>
      <c r="B478">
        <v>320239</v>
      </c>
      <c r="C478" t="str">
        <f>"120825500332"</f>
        <v>120825500332</v>
      </c>
      <c r="D478" t="s">
        <v>1457</v>
      </c>
      <c r="E478" t="s">
        <v>1458</v>
      </c>
      <c r="F478" t="s">
        <v>1459</v>
      </c>
      <c r="G478" s="1">
        <v>41146</v>
      </c>
      <c r="I478" t="s">
        <v>240</v>
      </c>
      <c r="J478" t="s">
        <v>200</v>
      </c>
      <c r="K478" t="s">
        <v>201</v>
      </c>
      <c r="Q478" t="s">
        <v>212</v>
      </c>
      <c r="R478" t="str">
        <f>"КАЗАХСТАН, АКМОЛИНСКАЯ, СТЕПНОГОРСК, 14, 60"</f>
        <v>КАЗАХСТАН, АКМОЛИНСКАЯ, СТЕПНОГОРСК, 14, 60</v>
      </c>
      <c r="S478" t="str">
        <f>"ҚАЗАҚСТАН, АҚМОЛА, СТЕПНОГОР, 14, 60"</f>
        <v>ҚАЗАҚСТАН, АҚМОЛА, СТЕПНОГОР, 14, 60</v>
      </c>
      <c r="T478" t="str">
        <f>"14, 60"</f>
        <v>14, 60</v>
      </c>
      <c r="U478" t="str">
        <f>"14, 60"</f>
        <v>14, 60</v>
      </c>
      <c r="AC478" t="str">
        <f>"2019-08-29T00:00:00"</f>
        <v>2019-08-29T00:00:00</v>
      </c>
      <c r="AD478" t="str">
        <f>"1"</f>
        <v>1</v>
      </c>
      <c r="AG478" t="s">
        <v>202</v>
      </c>
      <c r="AI478" t="s">
        <v>299</v>
      </c>
      <c r="AJ478" t="s">
        <v>419</v>
      </c>
      <c r="AK478" t="s">
        <v>261</v>
      </c>
      <c r="AL478" t="s">
        <v>206</v>
      </c>
      <c r="AN478" t="s">
        <v>207</v>
      </c>
      <c r="AO478">
        <v>1</v>
      </c>
      <c r="AP478" t="s">
        <v>208</v>
      </c>
      <c r="AQ478" t="s">
        <v>209</v>
      </c>
      <c r="AR478" t="s">
        <v>210</v>
      </c>
      <c r="AW478" t="s">
        <v>206</v>
      </c>
      <c r="AX478" t="s">
        <v>211</v>
      </c>
      <c r="AZ478" t="s">
        <v>209</v>
      </c>
      <c r="BI478" t="s">
        <v>212</v>
      </c>
      <c r="BJ478" t="s">
        <v>213</v>
      </c>
      <c r="BK478" t="s">
        <v>214</v>
      </c>
      <c r="BL478" t="s">
        <v>215</v>
      </c>
      <c r="BN478" t="s">
        <v>281</v>
      </c>
      <c r="BO478" t="s">
        <v>209</v>
      </c>
      <c r="BP478" t="s">
        <v>241</v>
      </c>
      <c r="BQ478">
        <v>5</v>
      </c>
      <c r="BS478" t="s">
        <v>219</v>
      </c>
      <c r="BT478" t="s">
        <v>220</v>
      </c>
      <c r="BU478" t="s">
        <v>206</v>
      </c>
      <c r="BX478" t="s">
        <v>221</v>
      </c>
      <c r="BY478" t="s">
        <v>221</v>
      </c>
      <c r="CA478" t="s">
        <v>256</v>
      </c>
      <c r="CB478" t="s">
        <v>223</v>
      </c>
      <c r="CC478" t="s">
        <v>222</v>
      </c>
      <c r="CD478" t="s">
        <v>223</v>
      </c>
      <c r="CE478" t="s">
        <v>242</v>
      </c>
      <c r="CJ478" t="s">
        <v>206</v>
      </c>
      <c r="CK478" t="s">
        <v>230</v>
      </c>
      <c r="CL478" t="s">
        <v>231</v>
      </c>
      <c r="CM478" t="s">
        <v>232</v>
      </c>
      <c r="CN478" t="s">
        <v>233</v>
      </c>
      <c r="CP478" t="s">
        <v>212</v>
      </c>
      <c r="CQ478" t="s">
        <v>212</v>
      </c>
      <c r="CR478" t="s">
        <v>212</v>
      </c>
      <c r="CS478" t="s">
        <v>212</v>
      </c>
      <c r="CY478" t="s">
        <v>212</v>
      </c>
      <c r="DB478" t="s">
        <v>234</v>
      </c>
      <c r="DE478" t="s">
        <v>212</v>
      </c>
      <c r="DF478" t="s">
        <v>212</v>
      </c>
      <c r="DG478" t="s">
        <v>235</v>
      </c>
      <c r="DH478" t="s">
        <v>212</v>
      </c>
      <c r="DJ478" t="s">
        <v>236</v>
      </c>
      <c r="DM478" t="s">
        <v>212</v>
      </c>
    </row>
    <row r="479" spans="1:117" x14ac:dyDescent="0.3">
      <c r="A479">
        <v>354650</v>
      </c>
      <c r="B479">
        <v>320173</v>
      </c>
      <c r="C479" t="str">
        <f>"120831500868"</f>
        <v>120831500868</v>
      </c>
      <c r="D479" t="s">
        <v>639</v>
      </c>
      <c r="E479" t="s">
        <v>693</v>
      </c>
      <c r="F479" t="s">
        <v>533</v>
      </c>
      <c r="G479" s="1">
        <v>41152</v>
      </c>
      <c r="I479" t="s">
        <v>240</v>
      </c>
      <c r="J479" t="s">
        <v>200</v>
      </c>
      <c r="K479" t="s">
        <v>260</v>
      </c>
      <c r="Q479" t="s">
        <v>212</v>
      </c>
      <c r="R479" t="str">
        <f>"КАЗАХСТАН, АКМОЛИНСКАЯ, СТЕПНОГОРСК, 20, 45"</f>
        <v>КАЗАХСТАН, АКМОЛИНСКАЯ, СТЕПНОГОРСК, 20, 45</v>
      </c>
      <c r="S479" t="str">
        <f>"ҚАЗАҚСТАН, АҚМОЛА, СТЕПНОГОР, 20, 45"</f>
        <v>ҚАЗАҚСТАН, АҚМОЛА, СТЕПНОГОР, 20, 45</v>
      </c>
      <c r="T479" t="str">
        <f>"20, 45"</f>
        <v>20, 45</v>
      </c>
      <c r="U479" t="str">
        <f>"20, 45"</f>
        <v>20, 45</v>
      </c>
      <c r="AC479" t="str">
        <f>"2019-07-24T00:00:00"</f>
        <v>2019-07-24T00:00:00</v>
      </c>
      <c r="AD479" t="str">
        <f>"102"</f>
        <v>102</v>
      </c>
      <c r="AG479" t="s">
        <v>333</v>
      </c>
      <c r="AI479" t="s">
        <v>299</v>
      </c>
      <c r="AJ479" t="s">
        <v>419</v>
      </c>
      <c r="AK479" t="s">
        <v>261</v>
      </c>
      <c r="AL479" t="s">
        <v>206</v>
      </c>
      <c r="AN479" t="s">
        <v>207</v>
      </c>
      <c r="AO479">
        <v>1</v>
      </c>
      <c r="AP479" t="s">
        <v>208</v>
      </c>
      <c r="AQ479" t="s">
        <v>209</v>
      </c>
      <c r="AR479" t="s">
        <v>210</v>
      </c>
      <c r="AW479" t="s">
        <v>206</v>
      </c>
      <c r="AX479" t="s">
        <v>211</v>
      </c>
      <c r="AZ479" t="s">
        <v>209</v>
      </c>
      <c r="BI479" t="s">
        <v>212</v>
      </c>
      <c r="BJ479" t="s">
        <v>213</v>
      </c>
      <c r="BK479" t="s">
        <v>214</v>
      </c>
      <c r="BL479" t="s">
        <v>215</v>
      </c>
      <c r="BN479" t="s">
        <v>281</v>
      </c>
      <c r="BO479" t="s">
        <v>209</v>
      </c>
      <c r="BP479" t="s">
        <v>241</v>
      </c>
      <c r="BQ479">
        <v>5</v>
      </c>
      <c r="BS479" t="s">
        <v>219</v>
      </c>
      <c r="BT479" t="s">
        <v>220</v>
      </c>
      <c r="BU479" t="s">
        <v>206</v>
      </c>
      <c r="BX479" t="s">
        <v>221</v>
      </c>
      <c r="BY479" t="s">
        <v>221</v>
      </c>
      <c r="CA479" t="s">
        <v>287</v>
      </c>
      <c r="CC479" t="s">
        <v>301</v>
      </c>
      <c r="CD479" t="s">
        <v>223</v>
      </c>
      <c r="CE479" t="s">
        <v>242</v>
      </c>
      <c r="CJ479" t="s">
        <v>206</v>
      </c>
      <c r="CK479" t="s">
        <v>230</v>
      </c>
      <c r="CL479" t="s">
        <v>231</v>
      </c>
      <c r="CM479" t="s">
        <v>232</v>
      </c>
      <c r="CN479" t="s">
        <v>233</v>
      </c>
      <c r="CP479" t="s">
        <v>212</v>
      </c>
      <c r="CQ479" t="s">
        <v>212</v>
      </c>
      <c r="CR479" t="s">
        <v>212</v>
      </c>
      <c r="CS479" t="s">
        <v>212</v>
      </c>
      <c r="CY479" t="s">
        <v>212</v>
      </c>
      <c r="DB479" t="s">
        <v>234</v>
      </c>
      <c r="DE479" t="s">
        <v>212</v>
      </c>
      <c r="DF479" t="s">
        <v>212</v>
      </c>
      <c r="DG479" t="s">
        <v>235</v>
      </c>
      <c r="DH479" t="s">
        <v>212</v>
      </c>
      <c r="DJ479" t="s">
        <v>236</v>
      </c>
      <c r="DM479" t="s">
        <v>212</v>
      </c>
    </row>
    <row r="480" spans="1:117" x14ac:dyDescent="0.3">
      <c r="A480">
        <v>354540</v>
      </c>
      <c r="B480">
        <v>165537</v>
      </c>
      <c r="C480" t="str">
        <f>"091204550959"</f>
        <v>091204550959</v>
      </c>
      <c r="D480" t="s">
        <v>782</v>
      </c>
      <c r="E480" t="s">
        <v>734</v>
      </c>
      <c r="F480" t="s">
        <v>1045</v>
      </c>
      <c r="G480" s="1">
        <v>40151</v>
      </c>
      <c r="I480" t="s">
        <v>240</v>
      </c>
      <c r="J480" t="s">
        <v>200</v>
      </c>
      <c r="K480" t="s">
        <v>306</v>
      </c>
      <c r="R480" t="str">
        <f>"КАЗАХСТАН, АКМОЛИНСКАЯ, СТЕПНОГОРСК, 24, 12"</f>
        <v>КАЗАХСТАН, АКМОЛИНСКАЯ, СТЕПНОГОРСК, 24, 12</v>
      </c>
      <c r="S480" t="str">
        <f>"ҚАЗАҚСТАН, АҚМОЛА, СТЕПНОГОР, 24, 12"</f>
        <v>ҚАЗАҚСТАН, АҚМОЛА, СТЕПНОГОР, 24, 12</v>
      </c>
      <c r="T480" t="str">
        <f>"24, 12"</f>
        <v>24, 12</v>
      </c>
      <c r="U480" t="str">
        <f>"24, 12"</f>
        <v>24, 12</v>
      </c>
      <c r="AC480" t="str">
        <f>"2017-08-29T00:00:00"</f>
        <v>2017-08-29T00:00:00</v>
      </c>
      <c r="AD480" t="str">
        <f>"112"</f>
        <v>112</v>
      </c>
      <c r="AG480" t="s">
        <v>202</v>
      </c>
      <c r="AI480" t="s">
        <v>274</v>
      </c>
      <c r="AJ480" t="s">
        <v>300</v>
      </c>
      <c r="AK480" t="s">
        <v>246</v>
      </c>
      <c r="AL480" t="s">
        <v>206</v>
      </c>
      <c r="AN480" t="s">
        <v>207</v>
      </c>
      <c r="AO480">
        <v>1</v>
      </c>
      <c r="AP480" t="s">
        <v>208</v>
      </c>
      <c r="AQ480" t="s">
        <v>209</v>
      </c>
      <c r="AR480" t="s">
        <v>210</v>
      </c>
      <c r="AW480" t="s">
        <v>206</v>
      </c>
      <c r="AX480" t="s">
        <v>211</v>
      </c>
      <c r="AZ480" t="s">
        <v>209</v>
      </c>
      <c r="BI480" t="s">
        <v>212</v>
      </c>
      <c r="BJ480" t="s">
        <v>213</v>
      </c>
      <c r="BK480" t="s">
        <v>214</v>
      </c>
      <c r="BL480" t="s">
        <v>215</v>
      </c>
      <c r="BN480" t="s">
        <v>247</v>
      </c>
      <c r="BO480" t="s">
        <v>209</v>
      </c>
      <c r="BP480" t="s">
        <v>241</v>
      </c>
      <c r="BQ480">
        <v>3</v>
      </c>
      <c r="BS480" t="s">
        <v>219</v>
      </c>
      <c r="BT480" t="s">
        <v>220</v>
      </c>
      <c r="BU480" t="s">
        <v>206</v>
      </c>
      <c r="BX480" t="s">
        <v>234</v>
      </c>
      <c r="BY480" t="s">
        <v>234</v>
      </c>
      <c r="CA480" t="s">
        <v>222</v>
      </c>
      <c r="CB480" t="s">
        <v>223</v>
      </c>
      <c r="CC480" t="s">
        <v>222</v>
      </c>
      <c r="CD480" t="s">
        <v>223</v>
      </c>
      <c r="CE480" t="s">
        <v>242</v>
      </c>
      <c r="CJ480" t="s">
        <v>206</v>
      </c>
      <c r="CK480" t="s">
        <v>1460</v>
      </c>
      <c r="CL480" t="s">
        <v>1461</v>
      </c>
      <c r="CM480" t="s">
        <v>232</v>
      </c>
      <c r="CN480" t="s">
        <v>233</v>
      </c>
      <c r="CP480" t="s">
        <v>212</v>
      </c>
      <c r="CQ480" t="s">
        <v>212</v>
      </c>
      <c r="CR480" t="s">
        <v>212</v>
      </c>
      <c r="CS480" t="s">
        <v>212</v>
      </c>
      <c r="CY480" t="s">
        <v>212</v>
      </c>
      <c r="DB480" t="s">
        <v>234</v>
      </c>
      <c r="DE480" t="s">
        <v>212</v>
      </c>
      <c r="DF480" t="s">
        <v>212</v>
      </c>
      <c r="DG480" t="s">
        <v>235</v>
      </c>
      <c r="DH480" t="s">
        <v>212</v>
      </c>
      <c r="DJ480" t="s">
        <v>236</v>
      </c>
      <c r="DM480" t="s">
        <v>206</v>
      </c>
    </row>
    <row r="481" spans="1:117" x14ac:dyDescent="0.3">
      <c r="A481">
        <v>354510</v>
      </c>
      <c r="B481">
        <v>320056</v>
      </c>
      <c r="C481" t="str">
        <f>"120622500970"</f>
        <v>120622500970</v>
      </c>
      <c r="D481" t="s">
        <v>288</v>
      </c>
      <c r="E481" t="s">
        <v>842</v>
      </c>
      <c r="F481" t="s">
        <v>290</v>
      </c>
      <c r="G481" s="1">
        <v>41082</v>
      </c>
      <c r="I481" t="s">
        <v>240</v>
      </c>
      <c r="J481" t="s">
        <v>200</v>
      </c>
      <c r="K481" t="s">
        <v>260</v>
      </c>
      <c r="Q481" t="s">
        <v>212</v>
      </c>
      <c r="R481" t="str">
        <f>"КАЗАХСТАН, АКМОЛИНСКАЯ, СТЕПНОГОРСК, 32, 33"</f>
        <v>КАЗАХСТАН, АКМОЛИНСКАЯ, СТЕПНОГОРСК, 32, 33</v>
      </c>
      <c r="S481" t="str">
        <f>"ҚАЗАҚСТАН, АҚМОЛА, СТЕПНОГОР, 32, 33"</f>
        <v>ҚАЗАҚСТАН, АҚМОЛА, СТЕПНОГОР, 32, 33</v>
      </c>
      <c r="T481" t="str">
        <f>"32, 33"</f>
        <v>32, 33</v>
      </c>
      <c r="U481" t="str">
        <f>"32, 33"</f>
        <v>32, 33</v>
      </c>
      <c r="AC481" t="str">
        <f>"2019-06-14T00:00:00"</f>
        <v>2019-06-14T00:00:00</v>
      </c>
      <c r="AD481" t="str">
        <f>"87"</f>
        <v>87</v>
      </c>
      <c r="AG481" t="s">
        <v>202</v>
      </c>
      <c r="AI481" t="s">
        <v>299</v>
      </c>
      <c r="AJ481" t="s">
        <v>419</v>
      </c>
      <c r="AK481" t="s">
        <v>205</v>
      </c>
      <c r="AL481" t="s">
        <v>206</v>
      </c>
      <c r="AN481" t="s">
        <v>207</v>
      </c>
      <c r="AO481">
        <v>1</v>
      </c>
      <c r="AP481" t="s">
        <v>208</v>
      </c>
      <c r="AQ481" t="s">
        <v>209</v>
      </c>
      <c r="AR481" t="s">
        <v>210</v>
      </c>
      <c r="AW481" t="s">
        <v>206</v>
      </c>
      <c r="AX481" t="s">
        <v>211</v>
      </c>
      <c r="AZ481" t="s">
        <v>209</v>
      </c>
      <c r="BI481" t="s">
        <v>212</v>
      </c>
      <c r="BJ481" t="s">
        <v>213</v>
      </c>
      <c r="BK481" t="s">
        <v>214</v>
      </c>
      <c r="BL481" t="s">
        <v>215</v>
      </c>
      <c r="BN481" t="s">
        <v>216</v>
      </c>
      <c r="BO481" t="s">
        <v>209</v>
      </c>
      <c r="BP481" t="s">
        <v>241</v>
      </c>
      <c r="BQ481">
        <v>4</v>
      </c>
      <c r="BS481" t="s">
        <v>219</v>
      </c>
      <c r="BT481" t="s">
        <v>220</v>
      </c>
      <c r="BU481" t="s">
        <v>206</v>
      </c>
      <c r="BX481" t="s">
        <v>221</v>
      </c>
      <c r="BY481" t="s">
        <v>221</v>
      </c>
      <c r="CA481" t="s">
        <v>287</v>
      </c>
      <c r="CC481" t="s">
        <v>222</v>
      </c>
      <c r="CD481" t="s">
        <v>223</v>
      </c>
      <c r="CE481" t="s">
        <v>242</v>
      </c>
      <c r="CJ481" t="s">
        <v>206</v>
      </c>
      <c r="CK481" t="s">
        <v>230</v>
      </c>
      <c r="CL481" t="s">
        <v>231</v>
      </c>
      <c r="CM481" t="s">
        <v>232</v>
      </c>
      <c r="CN481" t="s">
        <v>233</v>
      </c>
      <c r="CP481" t="s">
        <v>212</v>
      </c>
      <c r="CQ481" t="s">
        <v>212</v>
      </c>
      <c r="CR481" t="s">
        <v>212</v>
      </c>
      <c r="CS481" t="s">
        <v>212</v>
      </c>
      <c r="CY481" t="s">
        <v>212</v>
      </c>
      <c r="DB481" t="s">
        <v>234</v>
      </c>
      <c r="DE481" t="s">
        <v>212</v>
      </c>
      <c r="DF481" t="s">
        <v>212</v>
      </c>
      <c r="DG481" t="s">
        <v>235</v>
      </c>
      <c r="DH481" t="s">
        <v>212</v>
      </c>
      <c r="DJ481" t="s">
        <v>236</v>
      </c>
      <c r="DM481" t="s">
        <v>212</v>
      </c>
    </row>
    <row r="482" spans="1:117" x14ac:dyDescent="0.3">
      <c r="A482">
        <v>26796018</v>
      </c>
      <c r="B482">
        <v>821038</v>
      </c>
      <c r="C482" t="str">
        <f>"130723503551"</f>
        <v>130723503551</v>
      </c>
      <c r="D482" t="s">
        <v>1462</v>
      </c>
      <c r="E482" t="s">
        <v>824</v>
      </c>
      <c r="F482" t="s">
        <v>1463</v>
      </c>
      <c r="G482" s="1">
        <v>41478</v>
      </c>
      <c r="I482" t="s">
        <v>240</v>
      </c>
      <c r="J482" t="s">
        <v>200</v>
      </c>
      <c r="K482" t="s">
        <v>260</v>
      </c>
      <c r="Q482" t="s">
        <v>212</v>
      </c>
      <c r="R482" t="str">
        <f>"КАЗАХСТАН, АКМОЛИНСКАЯ, СТЕПНОГОРСК, Заводской, 5, 1"</f>
        <v>КАЗАХСТАН, АКМОЛИНСКАЯ, СТЕПНОГОРСК, Заводской, 5, 1</v>
      </c>
      <c r="S482" t="str">
        <f>"ҚАЗАҚСТАН, АҚМОЛА, СТЕПНОГОР, Заводской, 5, 1"</f>
        <v>ҚАЗАҚСТАН, АҚМОЛА, СТЕПНОГОР, Заводской, 5, 1</v>
      </c>
      <c r="T482" t="str">
        <f>"Заводской, 5, 1"</f>
        <v>Заводской, 5, 1</v>
      </c>
      <c r="U482" t="str">
        <f>"Заводской, 5, 1"</f>
        <v>Заводской, 5, 1</v>
      </c>
      <c r="AC482" t="str">
        <f>"2023-10-30T00:00:00"</f>
        <v>2023-10-30T00:00:00</v>
      </c>
      <c r="AD482" t="str">
        <f>"93"</f>
        <v>93</v>
      </c>
      <c r="AG482" t="s">
        <v>202</v>
      </c>
      <c r="AI482" t="s">
        <v>274</v>
      </c>
      <c r="AJ482" t="s">
        <v>419</v>
      </c>
      <c r="AK482" t="s">
        <v>246</v>
      </c>
      <c r="AL482" t="s">
        <v>206</v>
      </c>
      <c r="AN482" t="s">
        <v>207</v>
      </c>
      <c r="AO482">
        <v>1</v>
      </c>
      <c r="AP482" t="s">
        <v>208</v>
      </c>
      <c r="AQ482" t="s">
        <v>209</v>
      </c>
      <c r="AR482" t="s">
        <v>502</v>
      </c>
      <c r="AW482" t="s">
        <v>212</v>
      </c>
      <c r="AZ482" t="s">
        <v>209</v>
      </c>
      <c r="BI482" t="s">
        <v>212</v>
      </c>
      <c r="BJ482" t="s">
        <v>213</v>
      </c>
      <c r="BK482" t="s">
        <v>214</v>
      </c>
      <c r="BL482" t="s">
        <v>215</v>
      </c>
      <c r="BN482" t="s">
        <v>216</v>
      </c>
      <c r="BO482" t="s">
        <v>209</v>
      </c>
      <c r="BP482" t="s">
        <v>415</v>
      </c>
      <c r="BQ482" t="s">
        <v>673</v>
      </c>
      <c r="BS482" t="s">
        <v>219</v>
      </c>
      <c r="BT482" t="s">
        <v>220</v>
      </c>
      <c r="BU482" t="s">
        <v>206</v>
      </c>
      <c r="CA482" t="s">
        <v>287</v>
      </c>
      <c r="CC482" t="s">
        <v>209</v>
      </c>
      <c r="CE482" t="s">
        <v>242</v>
      </c>
      <c r="CJ482" t="s">
        <v>206</v>
      </c>
      <c r="CK482" t="s">
        <v>230</v>
      </c>
      <c r="CL482" t="s">
        <v>231</v>
      </c>
      <c r="CM482" t="s">
        <v>232</v>
      </c>
      <c r="CN482" t="s">
        <v>233</v>
      </c>
      <c r="CP482" t="s">
        <v>212</v>
      </c>
      <c r="CQ482" t="s">
        <v>212</v>
      </c>
      <c r="CR482" t="s">
        <v>212</v>
      </c>
      <c r="CS482" t="s">
        <v>212</v>
      </c>
      <c r="CY482" t="s">
        <v>212</v>
      </c>
      <c r="DB482" t="s">
        <v>234</v>
      </c>
      <c r="DE482" t="s">
        <v>212</v>
      </c>
      <c r="DF482" t="s">
        <v>212</v>
      </c>
      <c r="DG482" t="s">
        <v>235</v>
      </c>
      <c r="DH482" t="s">
        <v>212</v>
      </c>
      <c r="DJ482" t="s">
        <v>236</v>
      </c>
      <c r="DM482" t="s">
        <v>212</v>
      </c>
    </row>
    <row r="483" spans="1:117" x14ac:dyDescent="0.3">
      <c r="A483">
        <v>26807062</v>
      </c>
      <c r="B483">
        <v>9806463</v>
      </c>
      <c r="C483" t="str">
        <f>"170326601172"</f>
        <v>170326601172</v>
      </c>
      <c r="D483" t="s">
        <v>1464</v>
      </c>
      <c r="E483" t="s">
        <v>1465</v>
      </c>
      <c r="F483" t="s">
        <v>1466</v>
      </c>
      <c r="G483" s="1">
        <v>42820</v>
      </c>
      <c r="I483" t="s">
        <v>199</v>
      </c>
      <c r="J483" t="s">
        <v>200</v>
      </c>
      <c r="K483" t="s">
        <v>201</v>
      </c>
      <c r="Q483" t="s">
        <v>212</v>
      </c>
      <c r="R483" t="str">
        <f>"КАЗАХСТАН, АКМОЛИНСКАЯ, КОКШЕТАУ, Станционный, 3, 4"</f>
        <v>КАЗАХСТАН, АКМОЛИНСКАЯ, КОКШЕТАУ, Станционный, 3, 4</v>
      </c>
      <c r="S483" t="str">
        <f>"ҚАЗАҚСТАН, АҚМОЛА, КӨКШЕТАУ, Станционный, 3, 4"</f>
        <v>ҚАЗАҚСТАН, АҚМОЛА, КӨКШЕТАУ, Станционный, 3, 4</v>
      </c>
      <c r="T483" t="str">
        <f>"Станционный, 3, 4"</f>
        <v>Станционный, 3, 4</v>
      </c>
      <c r="U483" t="str">
        <f>"Станционный, 3, 4"</f>
        <v>Станционный, 3, 4</v>
      </c>
      <c r="AC483" t="str">
        <f>"2023-10-31T00:00:00"</f>
        <v>2023-10-31T00:00:00</v>
      </c>
      <c r="AD483" t="str">
        <f>"95"</f>
        <v>95</v>
      </c>
      <c r="AE483" t="str">
        <f>"2023-09-01T17:21:27"</f>
        <v>2023-09-01T17:21:27</v>
      </c>
      <c r="AF483" t="str">
        <f>"2024-05-25T17:21:27"</f>
        <v>2024-05-25T17:21:27</v>
      </c>
      <c r="AG483" t="s">
        <v>202</v>
      </c>
      <c r="AI483" t="s">
        <v>274</v>
      </c>
      <c r="AJ483" t="s">
        <v>660</v>
      </c>
      <c r="AK483" t="s">
        <v>253</v>
      </c>
      <c r="AL483" t="s">
        <v>206</v>
      </c>
      <c r="AN483" t="s">
        <v>254</v>
      </c>
      <c r="AO483">
        <v>1</v>
      </c>
      <c r="AP483" t="s">
        <v>208</v>
      </c>
      <c r="AQ483" t="s">
        <v>209</v>
      </c>
      <c r="AR483" t="s">
        <v>502</v>
      </c>
      <c r="AW483" t="s">
        <v>212</v>
      </c>
      <c r="AZ483" t="s">
        <v>209</v>
      </c>
      <c r="BI483" t="s">
        <v>212</v>
      </c>
      <c r="BJ483" t="s">
        <v>213</v>
      </c>
      <c r="BK483" t="s">
        <v>214</v>
      </c>
      <c r="BL483" t="s">
        <v>357</v>
      </c>
      <c r="BN483" t="s">
        <v>661</v>
      </c>
      <c r="BO483" t="s">
        <v>209</v>
      </c>
      <c r="BS483" t="s">
        <v>220</v>
      </c>
      <c r="BU483" t="s">
        <v>212</v>
      </c>
      <c r="BZ483">
        <v>0</v>
      </c>
      <c r="CA483" t="s">
        <v>287</v>
      </c>
      <c r="CC483" t="s">
        <v>871</v>
      </c>
      <c r="CD483" t="s">
        <v>349</v>
      </c>
      <c r="CE483" t="s">
        <v>242</v>
      </c>
      <c r="CJ483" t="s">
        <v>206</v>
      </c>
      <c r="CK483" t="s">
        <v>230</v>
      </c>
      <c r="CL483" t="s">
        <v>231</v>
      </c>
      <c r="CM483" t="s">
        <v>232</v>
      </c>
      <c r="CN483" t="s">
        <v>233</v>
      </c>
      <c r="CP483" t="s">
        <v>212</v>
      </c>
      <c r="CQ483" t="s">
        <v>212</v>
      </c>
      <c r="CR483" t="s">
        <v>212</v>
      </c>
      <c r="CS483" t="s">
        <v>212</v>
      </c>
      <c r="CY483" t="s">
        <v>212</v>
      </c>
      <c r="DB483" t="s">
        <v>234</v>
      </c>
      <c r="DE483" t="s">
        <v>212</v>
      </c>
      <c r="DF483" t="s">
        <v>212</v>
      </c>
      <c r="DG483" t="s">
        <v>235</v>
      </c>
      <c r="DH483" t="s">
        <v>212</v>
      </c>
      <c r="DJ483" t="s">
        <v>421</v>
      </c>
      <c r="DK483" t="s">
        <v>422</v>
      </c>
      <c r="DL483" t="s">
        <v>423</v>
      </c>
      <c r="DM483" t="s">
        <v>212</v>
      </c>
    </row>
    <row r="484" spans="1:117" x14ac:dyDescent="0.3">
      <c r="A484">
        <v>354465</v>
      </c>
      <c r="B484">
        <v>242206</v>
      </c>
      <c r="C484" t="str">
        <f>"100618551434"</f>
        <v>100618551434</v>
      </c>
      <c r="D484" t="s">
        <v>1467</v>
      </c>
      <c r="E484" t="s">
        <v>363</v>
      </c>
      <c r="F484" t="s">
        <v>1468</v>
      </c>
      <c r="G484" s="1">
        <v>40347</v>
      </c>
      <c r="I484" t="s">
        <v>240</v>
      </c>
      <c r="J484" t="s">
        <v>200</v>
      </c>
      <c r="K484" t="s">
        <v>201</v>
      </c>
      <c r="R484" t="str">
        <f>"АНДОРРА, АКМОЛИНСКАЯ, СТЕПНОГОРСК, 78, 86"</f>
        <v>АНДОРРА, АКМОЛИНСКАЯ, СТЕПНОГОРСК, 78, 86</v>
      </c>
      <c r="S484" t="str">
        <f>"АНДОРРА, АҚМОЛА, СТЕПНОГОР, 78, 86"</f>
        <v>АНДОРРА, АҚМОЛА, СТЕПНОГОР, 78, 86</v>
      </c>
      <c r="T484" t="str">
        <f>"78, 86"</f>
        <v>78, 86</v>
      </c>
      <c r="U484" t="str">
        <f>"78, 86"</f>
        <v>78, 86</v>
      </c>
      <c r="AC484" t="str">
        <f>"2018-04-26T00:00:00"</f>
        <v>2018-04-26T00:00:00</v>
      </c>
      <c r="AD484" t="str">
        <f>"96"</f>
        <v>96</v>
      </c>
      <c r="AG484" t="s">
        <v>202</v>
      </c>
      <c r="AI484" t="s">
        <v>299</v>
      </c>
      <c r="AJ484" t="s">
        <v>300</v>
      </c>
      <c r="AK484" t="s">
        <v>253</v>
      </c>
      <c r="AL484" t="s">
        <v>206</v>
      </c>
      <c r="AN484" t="s">
        <v>254</v>
      </c>
      <c r="AO484">
        <v>1</v>
      </c>
      <c r="AP484" t="s">
        <v>208</v>
      </c>
      <c r="AQ484" t="s">
        <v>209</v>
      </c>
      <c r="AR484" t="s">
        <v>210</v>
      </c>
      <c r="AW484" t="s">
        <v>206</v>
      </c>
      <c r="AX484" t="s">
        <v>211</v>
      </c>
      <c r="AZ484" t="s">
        <v>209</v>
      </c>
      <c r="BI484" t="s">
        <v>212</v>
      </c>
      <c r="BJ484" t="s">
        <v>213</v>
      </c>
      <c r="BK484" t="s">
        <v>214</v>
      </c>
      <c r="BL484" t="s">
        <v>215</v>
      </c>
      <c r="BN484" t="s">
        <v>247</v>
      </c>
      <c r="BO484" t="s">
        <v>209</v>
      </c>
      <c r="BP484" t="s">
        <v>241</v>
      </c>
      <c r="BQ484">
        <v>3</v>
      </c>
      <c r="BS484" t="s">
        <v>219</v>
      </c>
      <c r="BT484" t="s">
        <v>220</v>
      </c>
      <c r="BU484" t="s">
        <v>206</v>
      </c>
      <c r="BX484" t="s">
        <v>221</v>
      </c>
      <c r="BY484" t="s">
        <v>221</v>
      </c>
      <c r="CA484" t="s">
        <v>256</v>
      </c>
      <c r="CB484" t="s">
        <v>223</v>
      </c>
      <c r="CC484" t="s">
        <v>256</v>
      </c>
      <c r="CD484" t="s">
        <v>223</v>
      </c>
      <c r="CE484" t="s">
        <v>242</v>
      </c>
      <c r="CJ484" t="s">
        <v>206</v>
      </c>
      <c r="CK484" t="s">
        <v>230</v>
      </c>
      <c r="CL484" t="s">
        <v>231</v>
      </c>
      <c r="CM484" t="s">
        <v>232</v>
      </c>
      <c r="CN484" t="s">
        <v>233</v>
      </c>
      <c r="CP484" t="s">
        <v>212</v>
      </c>
      <c r="CQ484" t="s">
        <v>212</v>
      </c>
      <c r="CR484" t="s">
        <v>212</v>
      </c>
      <c r="CS484" t="s">
        <v>212</v>
      </c>
      <c r="CY484" t="s">
        <v>212</v>
      </c>
      <c r="DB484" t="s">
        <v>234</v>
      </c>
      <c r="DE484" t="s">
        <v>212</v>
      </c>
      <c r="DF484" t="s">
        <v>212</v>
      </c>
      <c r="DG484" t="s">
        <v>235</v>
      </c>
      <c r="DH484" t="s">
        <v>212</v>
      </c>
      <c r="DJ484" t="s">
        <v>236</v>
      </c>
      <c r="DM484" t="s">
        <v>212</v>
      </c>
    </row>
    <row r="485" spans="1:117" x14ac:dyDescent="0.3">
      <c r="A485">
        <v>354232</v>
      </c>
      <c r="B485">
        <v>319801</v>
      </c>
      <c r="C485" t="str">
        <f>"111206503052"</f>
        <v>111206503052</v>
      </c>
      <c r="D485" t="s">
        <v>1469</v>
      </c>
      <c r="E485" t="s">
        <v>687</v>
      </c>
      <c r="F485" t="s">
        <v>1448</v>
      </c>
      <c r="G485" s="1">
        <v>40883</v>
      </c>
      <c r="I485" t="s">
        <v>240</v>
      </c>
      <c r="J485" t="s">
        <v>200</v>
      </c>
      <c r="K485" t="s">
        <v>201</v>
      </c>
      <c r="R485" t="str">
        <f>"КАЗАХСТАН, АКМОЛИНСКАЯ, СТЕПНОГОРСК, 32, 18"</f>
        <v>КАЗАХСТАН, АКМОЛИНСКАЯ, СТЕПНОГОРСК, 32, 18</v>
      </c>
      <c r="S485" t="str">
        <f>"ҚАЗАҚСТАН, АҚМОЛА, СТЕПНОГОР, 32, 18"</f>
        <v>ҚАЗАҚСТАН, АҚМОЛА, СТЕПНОГОР, 32, 18</v>
      </c>
      <c r="T485" t="str">
        <f>"32, 18"</f>
        <v>32, 18</v>
      </c>
      <c r="U485" t="str">
        <f>"32, 18"</f>
        <v>32, 18</v>
      </c>
      <c r="AC485" t="str">
        <f>"2018-08-29T00:00:00"</f>
        <v>2018-08-29T00:00:00</v>
      </c>
      <c r="AD485" t="str">
        <f>"140"</f>
        <v>140</v>
      </c>
      <c r="AG485" t="s">
        <v>202</v>
      </c>
      <c r="AI485" t="s">
        <v>299</v>
      </c>
      <c r="AJ485" t="s">
        <v>348</v>
      </c>
      <c r="AK485" t="s">
        <v>253</v>
      </c>
      <c r="AL485" t="s">
        <v>206</v>
      </c>
      <c r="AN485" t="s">
        <v>254</v>
      </c>
      <c r="AO485">
        <v>1</v>
      </c>
      <c r="AP485" t="s">
        <v>208</v>
      </c>
      <c r="AQ485" t="s">
        <v>209</v>
      </c>
      <c r="AR485" t="s">
        <v>412</v>
      </c>
      <c r="AW485" t="s">
        <v>206</v>
      </c>
      <c r="AX485" t="s">
        <v>211</v>
      </c>
      <c r="AZ485" t="s">
        <v>209</v>
      </c>
      <c r="BI485" t="s">
        <v>212</v>
      </c>
      <c r="BJ485" t="s">
        <v>213</v>
      </c>
      <c r="BK485" t="s">
        <v>214</v>
      </c>
      <c r="BL485" t="s">
        <v>215</v>
      </c>
      <c r="BN485" t="s">
        <v>216</v>
      </c>
      <c r="BO485" t="s">
        <v>209</v>
      </c>
      <c r="BP485" t="s">
        <v>241</v>
      </c>
      <c r="BQ485">
        <v>4</v>
      </c>
      <c r="BS485" t="s">
        <v>219</v>
      </c>
      <c r="BT485" t="s">
        <v>220</v>
      </c>
      <c r="BU485" t="s">
        <v>206</v>
      </c>
      <c r="BX485" t="s">
        <v>221</v>
      </c>
      <c r="BY485" t="s">
        <v>221</v>
      </c>
      <c r="CA485" t="s">
        <v>256</v>
      </c>
      <c r="CB485" t="s">
        <v>223</v>
      </c>
      <c r="CC485" t="s">
        <v>222</v>
      </c>
      <c r="CD485" t="s">
        <v>223</v>
      </c>
      <c r="CE485" t="s">
        <v>225</v>
      </c>
      <c r="CF485" t="s">
        <v>226</v>
      </c>
      <c r="CG485" t="s">
        <v>227</v>
      </c>
      <c r="CH485" t="s">
        <v>228</v>
      </c>
      <c r="CI485" t="s">
        <v>1470</v>
      </c>
      <c r="CJ485" t="s">
        <v>206</v>
      </c>
      <c r="CK485" t="s">
        <v>230</v>
      </c>
      <c r="CL485" t="s">
        <v>231</v>
      </c>
      <c r="CM485" t="s">
        <v>232</v>
      </c>
      <c r="CN485" t="s">
        <v>233</v>
      </c>
      <c r="CP485" t="s">
        <v>212</v>
      </c>
      <c r="CQ485" t="s">
        <v>212</v>
      </c>
      <c r="CR485" t="s">
        <v>212</v>
      </c>
      <c r="CS485" t="s">
        <v>212</v>
      </c>
      <c r="CY485" t="s">
        <v>212</v>
      </c>
      <c r="DB485" t="s">
        <v>234</v>
      </c>
      <c r="DE485" t="s">
        <v>212</v>
      </c>
      <c r="DF485" t="s">
        <v>212</v>
      </c>
      <c r="DG485" t="s">
        <v>235</v>
      </c>
      <c r="DH485" t="s">
        <v>212</v>
      </c>
      <c r="DJ485" t="s">
        <v>236</v>
      </c>
      <c r="DM485" t="s">
        <v>212</v>
      </c>
    </row>
    <row r="486" spans="1:117" x14ac:dyDescent="0.3">
      <c r="A486">
        <v>354203</v>
      </c>
      <c r="B486">
        <v>319776</v>
      </c>
      <c r="C486" t="str">
        <f>"100425650651"</f>
        <v>100425650651</v>
      </c>
      <c r="D486" t="s">
        <v>1471</v>
      </c>
      <c r="E486" t="s">
        <v>560</v>
      </c>
      <c r="F486" t="s">
        <v>400</v>
      </c>
      <c r="G486" s="1">
        <v>40293</v>
      </c>
      <c r="I486" t="s">
        <v>199</v>
      </c>
      <c r="J486" t="s">
        <v>200</v>
      </c>
      <c r="K486" t="s">
        <v>260</v>
      </c>
      <c r="Q486" t="s">
        <v>212</v>
      </c>
      <c r="R486" t="str">
        <f>"КАЗАХСТАН, АКМОЛИНСКАЯ, СТЕПНОГОРСК, 18, 74"</f>
        <v>КАЗАХСТАН, АКМОЛИНСКАЯ, СТЕПНОГОРСК, 18, 74</v>
      </c>
      <c r="S486" t="str">
        <f>"ҚАЗАҚСТАН, АҚМОЛА, СТЕПНОГОР, 18, 74"</f>
        <v>ҚАЗАҚСТАН, АҚМОЛА, СТЕПНОГОР, 18, 74</v>
      </c>
      <c r="T486" t="str">
        <f>"18, 74"</f>
        <v>18, 74</v>
      </c>
      <c r="U486" t="str">
        <f>"18, 74"</f>
        <v>18, 74</v>
      </c>
      <c r="AC486" t="str">
        <f>"2016-09-01T00:00:00"</f>
        <v>2016-09-01T00:00:00</v>
      </c>
      <c r="AD486" t="str">
        <f>"1"</f>
        <v>1</v>
      </c>
      <c r="AG486" t="s">
        <v>202</v>
      </c>
      <c r="AI486" t="s">
        <v>299</v>
      </c>
      <c r="AJ486" t="s">
        <v>300</v>
      </c>
      <c r="AK486" t="s">
        <v>205</v>
      </c>
      <c r="AL486" t="s">
        <v>206</v>
      </c>
      <c r="AN486" t="s">
        <v>207</v>
      </c>
      <c r="AO486">
        <v>1</v>
      </c>
      <c r="AP486" t="s">
        <v>208</v>
      </c>
      <c r="AQ486" t="s">
        <v>209</v>
      </c>
      <c r="AR486" t="s">
        <v>210</v>
      </c>
      <c r="AW486" t="s">
        <v>206</v>
      </c>
      <c r="AX486" t="s">
        <v>211</v>
      </c>
      <c r="AZ486" t="s">
        <v>209</v>
      </c>
      <c r="BI486" t="s">
        <v>212</v>
      </c>
      <c r="BJ486" t="s">
        <v>213</v>
      </c>
      <c r="BK486" t="s">
        <v>214</v>
      </c>
      <c r="BL486" t="s">
        <v>215</v>
      </c>
      <c r="BN486" t="s">
        <v>216</v>
      </c>
      <c r="BO486" t="s">
        <v>209</v>
      </c>
      <c r="BP486" t="s">
        <v>241</v>
      </c>
      <c r="BQ486">
        <v>4</v>
      </c>
      <c r="BS486" t="s">
        <v>219</v>
      </c>
      <c r="BT486" t="s">
        <v>220</v>
      </c>
      <c r="BU486" t="s">
        <v>206</v>
      </c>
      <c r="BX486" t="s">
        <v>221</v>
      </c>
      <c r="BY486" t="s">
        <v>221</v>
      </c>
      <c r="CA486" t="s">
        <v>222</v>
      </c>
      <c r="CB486" t="s">
        <v>223</v>
      </c>
      <c r="CC486" t="s">
        <v>224</v>
      </c>
      <c r="CD486" t="s">
        <v>223</v>
      </c>
      <c r="CE486" t="s">
        <v>225</v>
      </c>
      <c r="CF486" t="s">
        <v>226</v>
      </c>
      <c r="CG486" t="s">
        <v>227</v>
      </c>
      <c r="CH486" t="s">
        <v>228</v>
      </c>
      <c r="CI486" t="s">
        <v>1472</v>
      </c>
      <c r="CJ486" t="s">
        <v>206</v>
      </c>
      <c r="CK486" t="s">
        <v>230</v>
      </c>
      <c r="CL486" t="s">
        <v>231</v>
      </c>
      <c r="CM486" t="s">
        <v>232</v>
      </c>
      <c r="CN486" t="s">
        <v>233</v>
      </c>
      <c r="CP486" t="s">
        <v>212</v>
      </c>
      <c r="CQ486" t="s">
        <v>212</v>
      </c>
      <c r="CR486" t="s">
        <v>212</v>
      </c>
      <c r="CS486" t="s">
        <v>212</v>
      </c>
      <c r="CY486" t="s">
        <v>212</v>
      </c>
      <c r="DB486" t="s">
        <v>234</v>
      </c>
      <c r="DE486" t="s">
        <v>212</v>
      </c>
      <c r="DF486" t="s">
        <v>212</v>
      </c>
      <c r="DG486" t="s">
        <v>235</v>
      </c>
      <c r="DH486" t="s">
        <v>212</v>
      </c>
      <c r="DJ486" t="s">
        <v>236</v>
      </c>
      <c r="DM486" t="s">
        <v>212</v>
      </c>
    </row>
    <row r="487" spans="1:117" x14ac:dyDescent="0.3">
      <c r="A487">
        <v>26833638</v>
      </c>
      <c r="B487">
        <v>179482</v>
      </c>
      <c r="C487" t="str">
        <f>"111123602377"</f>
        <v>111123602377</v>
      </c>
      <c r="D487" t="s">
        <v>1473</v>
      </c>
      <c r="E487" t="s">
        <v>1474</v>
      </c>
      <c r="F487" t="s">
        <v>1475</v>
      </c>
      <c r="G487" s="1">
        <v>40870</v>
      </c>
      <c r="I487" t="s">
        <v>199</v>
      </c>
      <c r="J487" t="s">
        <v>200</v>
      </c>
      <c r="K487" t="s">
        <v>201</v>
      </c>
      <c r="Q487" t="s">
        <v>212</v>
      </c>
      <c r="R487" t="str">
        <f>"КАЗАХСТАН, АКМОЛИНСКАЯ, СТЕПНОГОРСК, Изобильное, 4, 1"</f>
        <v>КАЗАХСТАН, АКМОЛИНСКАЯ, СТЕПНОГОРСК, Изобильное, 4, 1</v>
      </c>
      <c r="S487" t="str">
        <f>"ҚАЗАҚСТАН, АҚМОЛА, СТЕПНОГОР, Изобильное, 4, 1"</f>
        <v>ҚАЗАҚСТАН, АҚМОЛА, СТЕПНОГОР, Изобильное, 4, 1</v>
      </c>
      <c r="T487" t="str">
        <f>"Изобильное, 4, 1"</f>
        <v>Изобильное, 4, 1</v>
      </c>
      <c r="U487" t="str">
        <f>"Изобильное, 4, 1"</f>
        <v>Изобильное, 4, 1</v>
      </c>
      <c r="AC487" t="str">
        <f>"2023-11-06T00:00:00"</f>
        <v>2023-11-06T00:00:00</v>
      </c>
      <c r="AD487" t="str">
        <f>"100"</f>
        <v>100</v>
      </c>
      <c r="AG487" t="s">
        <v>202</v>
      </c>
      <c r="AI487" t="s">
        <v>274</v>
      </c>
      <c r="AJ487" t="s">
        <v>348</v>
      </c>
      <c r="AK487" t="s">
        <v>253</v>
      </c>
      <c r="AL487" t="s">
        <v>206</v>
      </c>
      <c r="AN487" t="s">
        <v>254</v>
      </c>
      <c r="AO487">
        <v>1</v>
      </c>
      <c r="AP487" t="s">
        <v>208</v>
      </c>
      <c r="AQ487" t="s">
        <v>209</v>
      </c>
      <c r="AR487" t="s">
        <v>210</v>
      </c>
      <c r="AW487" t="s">
        <v>206</v>
      </c>
      <c r="AX487" t="s">
        <v>211</v>
      </c>
      <c r="AZ487" t="s">
        <v>209</v>
      </c>
      <c r="BI487" t="s">
        <v>212</v>
      </c>
      <c r="BJ487" t="s">
        <v>213</v>
      </c>
      <c r="BK487" t="s">
        <v>214</v>
      </c>
      <c r="BL487" t="s">
        <v>215</v>
      </c>
      <c r="BN487" t="s">
        <v>216</v>
      </c>
      <c r="BO487" t="s">
        <v>209</v>
      </c>
      <c r="BP487" t="s">
        <v>241</v>
      </c>
      <c r="BQ487">
        <v>4</v>
      </c>
      <c r="BS487" t="s">
        <v>219</v>
      </c>
      <c r="BT487" t="s">
        <v>220</v>
      </c>
      <c r="BU487" t="s">
        <v>206</v>
      </c>
      <c r="CA487" t="s">
        <v>287</v>
      </c>
      <c r="CC487" t="s">
        <v>209</v>
      </c>
      <c r="CE487" t="s">
        <v>242</v>
      </c>
      <c r="CJ487" t="s">
        <v>206</v>
      </c>
      <c r="CK487" t="s">
        <v>230</v>
      </c>
      <c r="CL487" t="s">
        <v>231</v>
      </c>
      <c r="CM487" t="s">
        <v>232</v>
      </c>
      <c r="CN487" t="s">
        <v>233</v>
      </c>
      <c r="CP487" t="s">
        <v>212</v>
      </c>
      <c r="CQ487" t="s">
        <v>212</v>
      </c>
      <c r="CR487" t="s">
        <v>212</v>
      </c>
      <c r="CS487" t="s">
        <v>212</v>
      </c>
      <c r="CY487" t="s">
        <v>212</v>
      </c>
      <c r="DB487" t="s">
        <v>234</v>
      </c>
      <c r="DE487" t="s">
        <v>212</v>
      </c>
      <c r="DF487" t="s">
        <v>212</v>
      </c>
      <c r="DG487" t="s">
        <v>235</v>
      </c>
      <c r="DH487" t="s">
        <v>212</v>
      </c>
      <c r="DJ487" t="s">
        <v>421</v>
      </c>
      <c r="DK487" t="s">
        <v>707</v>
      </c>
      <c r="DL487" t="s">
        <v>423</v>
      </c>
      <c r="DM487" t="s">
        <v>206</v>
      </c>
    </row>
    <row r="488" spans="1:117" x14ac:dyDescent="0.3">
      <c r="A488">
        <v>354176</v>
      </c>
      <c r="B488">
        <v>319747</v>
      </c>
      <c r="C488" t="str">
        <f>"110707501532"</f>
        <v>110707501532</v>
      </c>
      <c r="D488" t="s">
        <v>987</v>
      </c>
      <c r="E488" t="s">
        <v>276</v>
      </c>
      <c r="F488" t="s">
        <v>989</v>
      </c>
      <c r="G488" s="1">
        <v>40731</v>
      </c>
      <c r="I488" t="s">
        <v>240</v>
      </c>
      <c r="J488" t="s">
        <v>200</v>
      </c>
      <c r="K488" t="s">
        <v>201</v>
      </c>
      <c r="R488" t="str">
        <f>"КАЗАХСТАН, АКМОЛИНСКАЯ, СТЕПНОГОРСК, 48, 17"</f>
        <v>КАЗАХСТАН, АКМОЛИНСКАЯ, СТЕПНОГОРСК, 48, 17</v>
      </c>
      <c r="S488" t="str">
        <f>"ҚАЗАҚСТАН, АҚМОЛА, СТЕПНОГОР, 48, 17"</f>
        <v>ҚАЗАҚСТАН, АҚМОЛА, СТЕПНОГОР, 48, 17</v>
      </c>
      <c r="T488" t="str">
        <f>"48, 17"</f>
        <v>48, 17</v>
      </c>
      <c r="U488" t="str">
        <f>"48, 17"</f>
        <v>48, 17</v>
      </c>
      <c r="AC488" t="str">
        <f>"2018-08-29T00:00:00"</f>
        <v>2018-08-29T00:00:00</v>
      </c>
      <c r="AD488" t="str">
        <f>"140"</f>
        <v>140</v>
      </c>
      <c r="AG488" t="s">
        <v>202</v>
      </c>
      <c r="AI488" t="s">
        <v>299</v>
      </c>
      <c r="AJ488" t="s">
        <v>348</v>
      </c>
      <c r="AK488" t="s">
        <v>261</v>
      </c>
      <c r="AL488" t="s">
        <v>206</v>
      </c>
      <c r="AN488" t="s">
        <v>207</v>
      </c>
      <c r="AO488">
        <v>1</v>
      </c>
      <c r="AP488" t="s">
        <v>208</v>
      </c>
      <c r="AQ488" t="s">
        <v>209</v>
      </c>
      <c r="AR488" t="s">
        <v>210</v>
      </c>
      <c r="AW488" t="s">
        <v>206</v>
      </c>
      <c r="AX488" t="s">
        <v>211</v>
      </c>
      <c r="AZ488" t="s">
        <v>209</v>
      </c>
      <c r="BI488" t="s">
        <v>212</v>
      </c>
      <c r="BJ488" t="s">
        <v>213</v>
      </c>
      <c r="BK488" t="s">
        <v>214</v>
      </c>
      <c r="BL488" t="s">
        <v>215</v>
      </c>
      <c r="BN488" t="s">
        <v>216</v>
      </c>
      <c r="BO488" t="s">
        <v>209</v>
      </c>
      <c r="BP488" t="s">
        <v>415</v>
      </c>
      <c r="BQ488" t="s">
        <v>1476</v>
      </c>
      <c r="BS488" t="s">
        <v>219</v>
      </c>
      <c r="BT488" t="s">
        <v>220</v>
      </c>
      <c r="BU488" t="s">
        <v>206</v>
      </c>
      <c r="BX488" t="s">
        <v>221</v>
      </c>
      <c r="BY488" t="s">
        <v>221</v>
      </c>
      <c r="CA488" t="s">
        <v>222</v>
      </c>
      <c r="CB488" t="s">
        <v>223</v>
      </c>
      <c r="CC488" t="s">
        <v>222</v>
      </c>
      <c r="CD488" t="s">
        <v>223</v>
      </c>
      <c r="CE488" t="s">
        <v>225</v>
      </c>
      <c r="CF488" t="s">
        <v>226</v>
      </c>
      <c r="CG488" t="s">
        <v>227</v>
      </c>
      <c r="CH488" t="s">
        <v>209</v>
      </c>
      <c r="CI488" t="s">
        <v>1477</v>
      </c>
      <c r="CJ488" t="s">
        <v>206</v>
      </c>
      <c r="CK488" t="s">
        <v>230</v>
      </c>
      <c r="CL488" t="s">
        <v>231</v>
      </c>
      <c r="CM488" t="s">
        <v>232</v>
      </c>
      <c r="CN488" t="s">
        <v>233</v>
      </c>
      <c r="CP488" t="s">
        <v>212</v>
      </c>
      <c r="CQ488" t="s">
        <v>212</v>
      </c>
      <c r="CR488" t="s">
        <v>212</v>
      </c>
      <c r="CS488" t="s">
        <v>212</v>
      </c>
      <c r="CY488" t="s">
        <v>212</v>
      </c>
      <c r="DB488" t="s">
        <v>234</v>
      </c>
      <c r="DE488" t="s">
        <v>212</v>
      </c>
      <c r="DF488" t="s">
        <v>212</v>
      </c>
      <c r="DG488" t="s">
        <v>235</v>
      </c>
      <c r="DH488" t="s">
        <v>212</v>
      </c>
      <c r="DJ488" t="s">
        <v>236</v>
      </c>
      <c r="DM488" t="s">
        <v>212</v>
      </c>
    </row>
    <row r="489" spans="1:117" x14ac:dyDescent="0.3">
      <c r="A489">
        <v>354131</v>
      </c>
      <c r="B489">
        <v>319715</v>
      </c>
      <c r="C489" t="str">
        <f>"120718500982"</f>
        <v>120718500982</v>
      </c>
      <c r="D489" t="s">
        <v>1102</v>
      </c>
      <c r="E489" t="s">
        <v>1478</v>
      </c>
      <c r="F489" t="s">
        <v>1104</v>
      </c>
      <c r="G489" s="1">
        <v>41108</v>
      </c>
      <c r="I489" t="s">
        <v>240</v>
      </c>
      <c r="J489" t="s">
        <v>200</v>
      </c>
      <c r="K489" t="s">
        <v>201</v>
      </c>
      <c r="Q489" t="s">
        <v>212</v>
      </c>
      <c r="R489" t="str">
        <f>"КАЗАХСТАН, АКМОЛИНСКАЯ, СТЕПНОГОРСК, 44, 60"</f>
        <v>КАЗАХСТАН, АКМОЛИНСКАЯ, СТЕПНОГОРСК, 44, 60</v>
      </c>
      <c r="S489" t="str">
        <f>"ҚАЗАҚСТАН, АҚМОЛА, СТЕПНОГОР, 44, 60"</f>
        <v>ҚАЗАҚСТАН, АҚМОЛА, СТЕПНОГОР, 44, 60</v>
      </c>
      <c r="T489" t="str">
        <f>"44, 60"</f>
        <v>44, 60</v>
      </c>
      <c r="U489" t="str">
        <f>"44, 60"</f>
        <v>44, 60</v>
      </c>
      <c r="AC489" t="str">
        <f>"2019-06-19T00:00:00"</f>
        <v>2019-06-19T00:00:00</v>
      </c>
      <c r="AD489" t="str">
        <f>"94"</f>
        <v>94</v>
      </c>
      <c r="AG489" t="s">
        <v>202</v>
      </c>
      <c r="AI489" t="s">
        <v>203</v>
      </c>
      <c r="AJ489" t="s">
        <v>419</v>
      </c>
      <c r="AK489" t="s">
        <v>205</v>
      </c>
      <c r="AL489" t="s">
        <v>206</v>
      </c>
      <c r="AN489" t="s">
        <v>207</v>
      </c>
      <c r="AO489">
        <v>1</v>
      </c>
      <c r="AP489" t="s">
        <v>208</v>
      </c>
      <c r="AQ489" t="s">
        <v>209</v>
      </c>
      <c r="AR489" t="s">
        <v>210</v>
      </c>
      <c r="AW489" t="s">
        <v>206</v>
      </c>
      <c r="AX489" t="s">
        <v>211</v>
      </c>
      <c r="AZ489" t="s">
        <v>209</v>
      </c>
      <c r="BI489" t="s">
        <v>212</v>
      </c>
      <c r="BJ489" t="s">
        <v>213</v>
      </c>
      <c r="BK489" t="s">
        <v>214</v>
      </c>
      <c r="BL489" t="s">
        <v>215</v>
      </c>
      <c r="BN489" t="s">
        <v>216</v>
      </c>
      <c r="BO489" t="s">
        <v>209</v>
      </c>
      <c r="BP489" t="s">
        <v>241</v>
      </c>
      <c r="BQ489">
        <v>4</v>
      </c>
      <c r="BS489" t="s">
        <v>219</v>
      </c>
      <c r="BT489" t="s">
        <v>220</v>
      </c>
      <c r="BU489" t="s">
        <v>206</v>
      </c>
      <c r="BX489" t="s">
        <v>221</v>
      </c>
      <c r="BY489" t="s">
        <v>221</v>
      </c>
      <c r="CA489" t="s">
        <v>287</v>
      </c>
      <c r="CC489" t="s">
        <v>1479</v>
      </c>
      <c r="CD489" t="s">
        <v>810</v>
      </c>
      <c r="CE489" t="s">
        <v>242</v>
      </c>
      <c r="CJ489" t="s">
        <v>206</v>
      </c>
      <c r="CK489" t="s">
        <v>230</v>
      </c>
      <c r="CL489" t="s">
        <v>231</v>
      </c>
      <c r="CM489" t="s">
        <v>232</v>
      </c>
      <c r="CN489" t="s">
        <v>233</v>
      </c>
      <c r="CP489" t="s">
        <v>212</v>
      </c>
      <c r="CQ489" t="s">
        <v>212</v>
      </c>
      <c r="CR489" t="s">
        <v>212</v>
      </c>
      <c r="CS489" t="s">
        <v>212</v>
      </c>
      <c r="CY489" t="s">
        <v>212</v>
      </c>
      <c r="DB489" t="s">
        <v>234</v>
      </c>
      <c r="DE489" t="s">
        <v>212</v>
      </c>
      <c r="DF489" t="s">
        <v>212</v>
      </c>
      <c r="DG489" t="s">
        <v>235</v>
      </c>
      <c r="DH489" t="s">
        <v>212</v>
      </c>
      <c r="DJ489" t="s">
        <v>236</v>
      </c>
      <c r="DM489" t="s">
        <v>206</v>
      </c>
    </row>
    <row r="490" spans="1:117" x14ac:dyDescent="0.3">
      <c r="A490">
        <v>26861975</v>
      </c>
      <c r="B490">
        <v>430491</v>
      </c>
      <c r="C490" t="str">
        <f>"131213604772"</f>
        <v>131213604772</v>
      </c>
      <c r="D490" t="s">
        <v>1480</v>
      </c>
      <c r="E490" t="s">
        <v>931</v>
      </c>
      <c r="F490" t="s">
        <v>1481</v>
      </c>
      <c r="G490" s="1">
        <v>41621</v>
      </c>
      <c r="I490" t="s">
        <v>199</v>
      </c>
      <c r="J490" t="s">
        <v>200</v>
      </c>
      <c r="K490" t="s">
        <v>201</v>
      </c>
      <c r="Q490" t="s">
        <v>212</v>
      </c>
      <c r="R490" t="str">
        <f>"КАЗАХСТАН, АКМОЛИНСКАЯ, АСТРАХАНСКИЙ РАЙОН, КАМЕНКА"</f>
        <v>КАЗАХСТАН, АКМОЛИНСКАЯ, АСТРАХАНСКИЙ РАЙОН, КАМЕНКА</v>
      </c>
      <c r="S490" t="str">
        <f>"ҚАЗАҚСТАН, АҚМОЛА, АСТРАХАН АУДАНЫ, КАМЕНКА"</f>
        <v>ҚАЗАҚСТАН, АҚМОЛА, АСТРАХАН АУДАНЫ, КАМЕНКА</v>
      </c>
      <c r="T490" t="str">
        <f t="shared" ref="T490:U492" si="13">"КАМЕНКА"</f>
        <v>КАМЕНКА</v>
      </c>
      <c r="U490" t="str">
        <f t="shared" si="13"/>
        <v>КАМЕНКА</v>
      </c>
      <c r="AC490" t="str">
        <f>"2023-11-08T00:00:00"</f>
        <v>2023-11-08T00:00:00</v>
      </c>
      <c r="AD490" t="str">
        <f>"103"</f>
        <v>103</v>
      </c>
      <c r="AG490" t="s">
        <v>202</v>
      </c>
      <c r="AI490" t="s">
        <v>274</v>
      </c>
      <c r="AJ490" t="s">
        <v>501</v>
      </c>
      <c r="AK490" t="s">
        <v>253</v>
      </c>
      <c r="AL490" t="s">
        <v>206</v>
      </c>
      <c r="AN490" t="s">
        <v>254</v>
      </c>
      <c r="AO490">
        <v>1</v>
      </c>
      <c r="AP490" t="s">
        <v>208</v>
      </c>
      <c r="AQ490" t="s">
        <v>209</v>
      </c>
      <c r="AR490" t="s">
        <v>210</v>
      </c>
      <c r="AW490" t="s">
        <v>206</v>
      </c>
      <c r="AX490" t="s">
        <v>211</v>
      </c>
      <c r="AZ490" t="s">
        <v>209</v>
      </c>
      <c r="BI490" t="s">
        <v>212</v>
      </c>
      <c r="BJ490" t="s">
        <v>213</v>
      </c>
      <c r="BK490" t="s">
        <v>214</v>
      </c>
      <c r="BL490" t="s">
        <v>357</v>
      </c>
      <c r="BN490" t="s">
        <v>247</v>
      </c>
      <c r="BO490" t="s">
        <v>209</v>
      </c>
      <c r="BP490" t="s">
        <v>241</v>
      </c>
      <c r="BQ490">
        <v>3</v>
      </c>
      <c r="BS490" t="s">
        <v>219</v>
      </c>
      <c r="BT490" t="s">
        <v>220</v>
      </c>
      <c r="BU490" t="s">
        <v>206</v>
      </c>
      <c r="BZ490" t="s">
        <v>503</v>
      </c>
      <c r="CA490" t="s">
        <v>287</v>
      </c>
      <c r="CC490" t="s">
        <v>209</v>
      </c>
      <c r="CE490" t="s">
        <v>242</v>
      </c>
      <c r="CJ490" t="s">
        <v>206</v>
      </c>
      <c r="CK490" t="s">
        <v>230</v>
      </c>
      <c r="CL490" t="s">
        <v>231</v>
      </c>
      <c r="CM490" t="s">
        <v>232</v>
      </c>
      <c r="CN490" t="s">
        <v>233</v>
      </c>
      <c r="CP490" t="s">
        <v>212</v>
      </c>
      <c r="CQ490" t="s">
        <v>212</v>
      </c>
      <c r="CR490" t="s">
        <v>212</v>
      </c>
      <c r="CS490" t="s">
        <v>212</v>
      </c>
      <c r="CY490" t="s">
        <v>212</v>
      </c>
      <c r="DB490" t="s">
        <v>234</v>
      </c>
      <c r="DE490" t="s">
        <v>212</v>
      </c>
      <c r="DF490" t="s">
        <v>212</v>
      </c>
      <c r="DG490" t="s">
        <v>235</v>
      </c>
      <c r="DH490" t="s">
        <v>212</v>
      </c>
      <c r="DJ490" t="s">
        <v>236</v>
      </c>
      <c r="DM490" t="s">
        <v>212</v>
      </c>
    </row>
    <row r="491" spans="1:117" x14ac:dyDescent="0.3">
      <c r="A491">
        <v>26861979</v>
      </c>
      <c r="B491">
        <v>430428</v>
      </c>
      <c r="C491" t="str">
        <f>"150128605115"</f>
        <v>150128605115</v>
      </c>
      <c r="D491" t="s">
        <v>1480</v>
      </c>
      <c r="E491" t="s">
        <v>1210</v>
      </c>
      <c r="F491" t="s">
        <v>1481</v>
      </c>
      <c r="G491" s="1">
        <v>42032</v>
      </c>
      <c r="I491" t="s">
        <v>199</v>
      </c>
      <c r="J491" t="s">
        <v>200</v>
      </c>
      <c r="K491" t="s">
        <v>201</v>
      </c>
      <c r="L491" t="s">
        <v>212</v>
      </c>
      <c r="Q491" t="s">
        <v>212</v>
      </c>
      <c r="R491" t="str">
        <f>"КАЗАХСТАН, АКМОЛИНСКАЯ, АСТРАХАНСКИЙ РАЙОН, КАМЕНКА"</f>
        <v>КАЗАХСТАН, АКМОЛИНСКАЯ, АСТРАХАНСКИЙ РАЙОН, КАМЕНКА</v>
      </c>
      <c r="S491" t="str">
        <f>"ҚАЗАҚСТАН, АҚМОЛА, АСТРАХАН АУДАНЫ, КАМЕНКА"</f>
        <v>ҚАЗАҚСТАН, АҚМОЛА, АСТРАХАН АУДАНЫ, КАМЕНКА</v>
      </c>
      <c r="T491" t="str">
        <f t="shared" si="13"/>
        <v>КАМЕНКА</v>
      </c>
      <c r="U491" t="str">
        <f t="shared" si="13"/>
        <v>КАМЕНКА</v>
      </c>
      <c r="AC491" t="str">
        <f>"2023-11-08T00:00:00"</f>
        <v>2023-11-08T00:00:00</v>
      </c>
      <c r="AD491" t="str">
        <f>"103"</f>
        <v>103</v>
      </c>
      <c r="AE491" t="str">
        <f>"2023-09-01T13:54:01"</f>
        <v>2023-09-01T13:54:01</v>
      </c>
      <c r="AF491" t="str">
        <f>"2024-05-25T13:54:01"</f>
        <v>2024-05-25T13:54:01</v>
      </c>
      <c r="AG491" t="s">
        <v>202</v>
      </c>
      <c r="AI491" t="s">
        <v>274</v>
      </c>
      <c r="AJ491" t="s">
        <v>570</v>
      </c>
      <c r="AK491" t="s">
        <v>434</v>
      </c>
      <c r="AL491" t="s">
        <v>206</v>
      </c>
      <c r="AN491" t="s">
        <v>254</v>
      </c>
      <c r="AO491">
        <v>2</v>
      </c>
      <c r="AP491" t="s">
        <v>208</v>
      </c>
      <c r="AQ491" t="s">
        <v>209</v>
      </c>
      <c r="AR491" t="s">
        <v>210</v>
      </c>
      <c r="AW491" t="s">
        <v>206</v>
      </c>
      <c r="AX491" t="s">
        <v>211</v>
      </c>
      <c r="AZ491" t="s">
        <v>209</v>
      </c>
      <c r="BI491" t="s">
        <v>212</v>
      </c>
      <c r="BJ491" t="s">
        <v>213</v>
      </c>
      <c r="BK491" t="s">
        <v>214</v>
      </c>
      <c r="BL491" t="s">
        <v>357</v>
      </c>
      <c r="BN491" t="s">
        <v>247</v>
      </c>
      <c r="BO491" t="s">
        <v>209</v>
      </c>
      <c r="BP491" t="s">
        <v>241</v>
      </c>
      <c r="BQ491">
        <v>3</v>
      </c>
      <c r="BS491" t="s">
        <v>220</v>
      </c>
      <c r="BU491" t="s">
        <v>212</v>
      </c>
      <c r="BZ491" t="s">
        <v>571</v>
      </c>
      <c r="CA491" t="s">
        <v>287</v>
      </c>
      <c r="CC491" t="s">
        <v>209</v>
      </c>
      <c r="CE491" t="s">
        <v>242</v>
      </c>
      <c r="CJ491" t="s">
        <v>206</v>
      </c>
      <c r="CK491" t="s">
        <v>230</v>
      </c>
      <c r="CL491" t="s">
        <v>231</v>
      </c>
      <c r="CM491" t="s">
        <v>232</v>
      </c>
      <c r="CN491" t="s">
        <v>233</v>
      </c>
      <c r="CP491" t="s">
        <v>212</v>
      </c>
      <c r="CQ491" t="s">
        <v>212</v>
      </c>
      <c r="CR491" t="s">
        <v>212</v>
      </c>
      <c r="CS491" t="s">
        <v>212</v>
      </c>
      <c r="CY491" t="s">
        <v>212</v>
      </c>
      <c r="DB491" t="s">
        <v>1011</v>
      </c>
      <c r="DC491" t="str">
        <f>"№1850 Легкие нарушения интеллекта."</f>
        <v>№1850 Легкие нарушения интеллекта.</v>
      </c>
      <c r="DD491" t="str">
        <f>"2023-12-13T00:00:00"</f>
        <v>2023-12-13T00:00:00</v>
      </c>
      <c r="DE491" t="s">
        <v>212</v>
      </c>
      <c r="DF491" t="s">
        <v>206</v>
      </c>
      <c r="DG491" t="s">
        <v>235</v>
      </c>
      <c r="DH491" t="s">
        <v>212</v>
      </c>
      <c r="DJ491" t="s">
        <v>236</v>
      </c>
      <c r="DM491" t="s">
        <v>212</v>
      </c>
    </row>
    <row r="492" spans="1:117" x14ac:dyDescent="0.3">
      <c r="A492">
        <v>26870909</v>
      </c>
      <c r="B492">
        <v>13418573</v>
      </c>
      <c r="C492" t="str">
        <f>"170619505964"</f>
        <v>170619505964</v>
      </c>
      <c r="D492" t="s">
        <v>1482</v>
      </c>
      <c r="E492" t="s">
        <v>644</v>
      </c>
      <c r="F492" t="s">
        <v>1483</v>
      </c>
      <c r="G492" s="1">
        <v>42905</v>
      </c>
      <c r="I492" t="s">
        <v>240</v>
      </c>
      <c r="J492" t="s">
        <v>200</v>
      </c>
      <c r="K492" t="s">
        <v>201</v>
      </c>
      <c r="Q492" t="s">
        <v>212</v>
      </c>
      <c r="R492" t="str">
        <f>"КАЗАХСТАН, АКМОЛИНСКАЯ, АСТРАХАНСКИЙ РАЙОН, КАМЕНКА"</f>
        <v>КАЗАХСТАН, АКМОЛИНСКАЯ, АСТРАХАНСКИЙ РАЙОН, КАМЕНКА</v>
      </c>
      <c r="S492" t="str">
        <f>"ҚАЗАҚСТАН, АҚМОЛА, АСТРАХАН АУДАНЫ, КАМЕНКА"</f>
        <v>ҚАЗАҚСТАН, АҚМОЛА, АСТРАХАН АУДАНЫ, КАМЕНКА</v>
      </c>
      <c r="T492" t="str">
        <f t="shared" si="13"/>
        <v>КАМЕНКА</v>
      </c>
      <c r="U492" t="str">
        <f t="shared" si="13"/>
        <v>КАМЕНКА</v>
      </c>
      <c r="AC492" t="str">
        <f>"2023-11-08T00:00:00"</f>
        <v>2023-11-08T00:00:00</v>
      </c>
      <c r="AD492" t="str">
        <f>"103"</f>
        <v>103</v>
      </c>
      <c r="AG492" t="s">
        <v>202</v>
      </c>
      <c r="AI492" t="s">
        <v>274</v>
      </c>
      <c r="AJ492" t="s">
        <v>1298</v>
      </c>
      <c r="AK492" t="s">
        <v>253</v>
      </c>
      <c r="AL492" t="s">
        <v>206</v>
      </c>
      <c r="AN492" t="s">
        <v>254</v>
      </c>
      <c r="AO492">
        <v>2</v>
      </c>
      <c r="AP492" t="s">
        <v>208</v>
      </c>
      <c r="AQ492" t="s">
        <v>209</v>
      </c>
      <c r="AR492" t="s">
        <v>502</v>
      </c>
      <c r="AW492" t="s">
        <v>212</v>
      </c>
      <c r="AZ492" t="s">
        <v>209</v>
      </c>
      <c r="BI492" t="s">
        <v>212</v>
      </c>
      <c r="BJ492" t="s">
        <v>213</v>
      </c>
      <c r="BK492" t="s">
        <v>214</v>
      </c>
      <c r="BL492" t="s">
        <v>215</v>
      </c>
      <c r="BN492" t="s">
        <v>661</v>
      </c>
      <c r="BO492" t="s">
        <v>209</v>
      </c>
      <c r="BS492" t="s">
        <v>220</v>
      </c>
      <c r="CA492" t="s">
        <v>287</v>
      </c>
      <c r="CC492" t="s">
        <v>209</v>
      </c>
      <c r="CE492" t="s">
        <v>242</v>
      </c>
      <c r="CJ492" t="s">
        <v>206</v>
      </c>
      <c r="CK492" t="s">
        <v>230</v>
      </c>
      <c r="CL492" t="s">
        <v>231</v>
      </c>
      <c r="CM492" t="s">
        <v>232</v>
      </c>
      <c r="CN492" t="s">
        <v>233</v>
      </c>
      <c r="CP492" t="s">
        <v>212</v>
      </c>
      <c r="CQ492" t="s">
        <v>212</v>
      </c>
      <c r="CR492" t="s">
        <v>212</v>
      </c>
      <c r="CS492" t="s">
        <v>212</v>
      </c>
      <c r="CY492" t="s">
        <v>212</v>
      </c>
      <c r="DB492" t="s">
        <v>234</v>
      </c>
      <c r="DE492" t="s">
        <v>212</v>
      </c>
      <c r="DF492" t="s">
        <v>212</v>
      </c>
      <c r="DG492" t="s">
        <v>235</v>
      </c>
      <c r="DH492" t="s">
        <v>212</v>
      </c>
      <c r="DI492" t="s">
        <v>1026</v>
      </c>
      <c r="DJ492" t="s">
        <v>421</v>
      </c>
      <c r="DK492" t="s">
        <v>707</v>
      </c>
      <c r="DL492" t="s">
        <v>423</v>
      </c>
      <c r="DM492" t="s">
        <v>212</v>
      </c>
    </row>
    <row r="493" spans="1:117" x14ac:dyDescent="0.3">
      <c r="A493">
        <v>26989354</v>
      </c>
      <c r="B493">
        <v>13589367</v>
      </c>
      <c r="C493" t="str">
        <f>"140219050086"</f>
        <v>140219050086</v>
      </c>
      <c r="D493" t="s">
        <v>1484</v>
      </c>
      <c r="E493" t="s">
        <v>1485</v>
      </c>
      <c r="F493" t="s">
        <v>1486</v>
      </c>
      <c r="G493" s="1">
        <v>41689</v>
      </c>
      <c r="I493" t="s">
        <v>240</v>
      </c>
      <c r="J493" t="s">
        <v>757</v>
      </c>
      <c r="K493" t="s">
        <v>201</v>
      </c>
      <c r="L493" t="s">
        <v>212</v>
      </c>
      <c r="Q493" t="s">
        <v>206</v>
      </c>
      <c r="R493" t="str">
        <f t="shared" ref="R493:U494" si="14">"-"</f>
        <v>-</v>
      </c>
      <c r="S493" t="str">
        <f t="shared" si="14"/>
        <v>-</v>
      </c>
      <c r="T493" t="str">
        <f t="shared" si="14"/>
        <v>-</v>
      </c>
      <c r="U493" t="str">
        <f t="shared" si="14"/>
        <v>-</v>
      </c>
      <c r="AC493" t="str">
        <f>"2023-12-04T00:00:00"</f>
        <v>2023-12-04T00:00:00</v>
      </c>
      <c r="AD493" t="str">
        <f>"110"</f>
        <v>110</v>
      </c>
      <c r="AE493" t="str">
        <f>"2023-09-01T09:26:08"</f>
        <v>2023-09-01T09:26:08</v>
      </c>
      <c r="AF493" t="str">
        <f>"2024-05-25T09:26:08"</f>
        <v>2024-05-25T09:26:08</v>
      </c>
      <c r="AG493" t="s">
        <v>530</v>
      </c>
      <c r="AI493" t="s">
        <v>274</v>
      </c>
      <c r="AJ493" t="s">
        <v>540</v>
      </c>
      <c r="AK493" t="s">
        <v>253</v>
      </c>
      <c r="AL493" t="s">
        <v>206</v>
      </c>
      <c r="AN493" t="s">
        <v>254</v>
      </c>
      <c r="AO493">
        <v>2</v>
      </c>
      <c r="AP493" t="s">
        <v>208</v>
      </c>
      <c r="AQ493" t="s">
        <v>209</v>
      </c>
      <c r="AR493" t="s">
        <v>502</v>
      </c>
      <c r="AW493" t="s">
        <v>212</v>
      </c>
      <c r="AZ493" t="s">
        <v>209</v>
      </c>
      <c r="BI493" t="s">
        <v>212</v>
      </c>
      <c r="BJ493" t="s">
        <v>213</v>
      </c>
      <c r="BK493" t="s">
        <v>214</v>
      </c>
      <c r="BL493" t="s">
        <v>357</v>
      </c>
      <c r="BN493" t="s">
        <v>216</v>
      </c>
      <c r="BO493" t="s">
        <v>209</v>
      </c>
      <c r="BP493" t="s">
        <v>241</v>
      </c>
      <c r="BQ493">
        <v>5</v>
      </c>
      <c r="BS493" t="s">
        <v>219</v>
      </c>
      <c r="BT493" t="s">
        <v>220</v>
      </c>
      <c r="BU493" t="s">
        <v>206</v>
      </c>
      <c r="BZ493" t="s">
        <v>1487</v>
      </c>
      <c r="CA493" t="s">
        <v>287</v>
      </c>
      <c r="CC493" t="s">
        <v>209</v>
      </c>
      <c r="CE493" t="s">
        <v>242</v>
      </c>
      <c r="CJ493" t="s">
        <v>206</v>
      </c>
      <c r="CK493" t="s">
        <v>230</v>
      </c>
      <c r="CL493" t="s">
        <v>231</v>
      </c>
      <c r="CM493" t="s">
        <v>232</v>
      </c>
      <c r="CN493" t="s">
        <v>233</v>
      </c>
      <c r="CP493" t="s">
        <v>212</v>
      </c>
      <c r="CQ493" t="s">
        <v>212</v>
      </c>
      <c r="CR493" t="s">
        <v>212</v>
      </c>
      <c r="CS493" t="s">
        <v>212</v>
      </c>
      <c r="CY493" t="s">
        <v>212</v>
      </c>
      <c r="DB493" t="s">
        <v>234</v>
      </c>
      <c r="DE493" t="s">
        <v>212</v>
      </c>
      <c r="DF493" t="s">
        <v>212</v>
      </c>
      <c r="DG493" t="s">
        <v>235</v>
      </c>
      <c r="DH493" t="s">
        <v>212</v>
      </c>
      <c r="DJ493" t="s">
        <v>236</v>
      </c>
      <c r="DM493" t="s">
        <v>212</v>
      </c>
    </row>
    <row r="494" spans="1:117" x14ac:dyDescent="0.3">
      <c r="A494">
        <v>26989372</v>
      </c>
      <c r="B494">
        <v>13589370</v>
      </c>
      <c r="C494" t="str">
        <f>"100226050087"</f>
        <v>100226050087</v>
      </c>
      <c r="D494" t="s">
        <v>1484</v>
      </c>
      <c r="E494" t="s">
        <v>1488</v>
      </c>
      <c r="F494" t="s">
        <v>1486</v>
      </c>
      <c r="G494" s="1">
        <v>40235</v>
      </c>
      <c r="I494" t="s">
        <v>240</v>
      </c>
      <c r="J494" t="s">
        <v>757</v>
      </c>
      <c r="K494" t="s">
        <v>201</v>
      </c>
      <c r="L494" t="s">
        <v>212</v>
      </c>
      <c r="Q494" t="s">
        <v>206</v>
      </c>
      <c r="R494" t="str">
        <f t="shared" si="14"/>
        <v>-</v>
      </c>
      <c r="S494" t="str">
        <f t="shared" si="14"/>
        <v>-</v>
      </c>
      <c r="T494" t="str">
        <f t="shared" si="14"/>
        <v>-</v>
      </c>
      <c r="U494" t="str">
        <f t="shared" si="14"/>
        <v>-</v>
      </c>
      <c r="AC494" t="str">
        <f>"2023-12-04T00:00:00"</f>
        <v>2023-12-04T00:00:00</v>
      </c>
      <c r="AD494" t="str">
        <f>"110"</f>
        <v>110</v>
      </c>
      <c r="AE494" t="str">
        <f>"2023-09-01T09:35:51"</f>
        <v>2023-09-01T09:35:51</v>
      </c>
      <c r="AF494" t="str">
        <f>"2024-05-25T09:35:51"</f>
        <v>2024-05-25T09:35:51</v>
      </c>
      <c r="AG494" t="s">
        <v>530</v>
      </c>
      <c r="AI494" t="s">
        <v>274</v>
      </c>
      <c r="AJ494" t="s">
        <v>300</v>
      </c>
      <c r="AK494" t="s">
        <v>253</v>
      </c>
      <c r="AL494" t="s">
        <v>206</v>
      </c>
      <c r="AN494" t="s">
        <v>254</v>
      </c>
      <c r="AO494">
        <v>1</v>
      </c>
      <c r="AP494" t="s">
        <v>208</v>
      </c>
      <c r="AQ494" t="s">
        <v>209</v>
      </c>
      <c r="AR494" t="s">
        <v>210</v>
      </c>
      <c r="AW494" t="s">
        <v>206</v>
      </c>
      <c r="AX494" t="s">
        <v>211</v>
      </c>
      <c r="AZ494" t="s">
        <v>209</v>
      </c>
      <c r="BI494" t="s">
        <v>212</v>
      </c>
      <c r="BJ494" t="s">
        <v>213</v>
      </c>
      <c r="BK494" t="s">
        <v>214</v>
      </c>
      <c r="BL494" t="s">
        <v>215</v>
      </c>
      <c r="BN494" t="s">
        <v>247</v>
      </c>
      <c r="BO494" t="s">
        <v>209</v>
      </c>
      <c r="BP494" t="s">
        <v>241</v>
      </c>
      <c r="BQ494">
        <v>4</v>
      </c>
      <c r="BS494" t="s">
        <v>219</v>
      </c>
      <c r="BT494" t="s">
        <v>220</v>
      </c>
      <c r="BU494" t="s">
        <v>206</v>
      </c>
      <c r="CA494" t="s">
        <v>287</v>
      </c>
      <c r="CC494" t="s">
        <v>209</v>
      </c>
      <c r="CE494" t="s">
        <v>242</v>
      </c>
      <c r="CJ494" t="s">
        <v>206</v>
      </c>
      <c r="CK494" t="s">
        <v>230</v>
      </c>
      <c r="CL494" t="s">
        <v>231</v>
      </c>
      <c r="CM494" t="s">
        <v>232</v>
      </c>
      <c r="CN494" t="s">
        <v>233</v>
      </c>
      <c r="CP494" t="s">
        <v>212</v>
      </c>
      <c r="CQ494" t="s">
        <v>212</v>
      </c>
      <c r="CR494" t="s">
        <v>212</v>
      </c>
      <c r="CS494" t="s">
        <v>212</v>
      </c>
      <c r="CY494" t="s">
        <v>212</v>
      </c>
      <c r="DB494" t="s">
        <v>234</v>
      </c>
      <c r="DE494" t="s">
        <v>212</v>
      </c>
      <c r="DF494" t="s">
        <v>212</v>
      </c>
      <c r="DG494" t="s">
        <v>235</v>
      </c>
      <c r="DH494" t="s">
        <v>212</v>
      </c>
      <c r="DJ494" t="s">
        <v>236</v>
      </c>
      <c r="DM494" t="s">
        <v>212</v>
      </c>
    </row>
    <row r="495" spans="1:117" x14ac:dyDescent="0.3">
      <c r="A495">
        <v>26991963</v>
      </c>
      <c r="B495">
        <v>91146</v>
      </c>
      <c r="C495" t="str">
        <f>"101206604759"</f>
        <v>101206604759</v>
      </c>
      <c r="D495" t="s">
        <v>1489</v>
      </c>
      <c r="E495" t="s">
        <v>677</v>
      </c>
      <c r="F495" t="s">
        <v>1490</v>
      </c>
      <c r="G495" s="1">
        <v>40518</v>
      </c>
      <c r="I495" t="s">
        <v>199</v>
      </c>
      <c r="J495" t="s">
        <v>200</v>
      </c>
      <c r="K495" t="s">
        <v>201</v>
      </c>
      <c r="Q495" t="s">
        <v>212</v>
      </c>
      <c r="R495" t="str">
        <f>"КАЗАХСТАН, АСТАНА, САРЫАРКА РАЙОН, 9/5"</f>
        <v>КАЗАХСТАН, АСТАНА, САРЫАРКА РАЙОН, 9/5</v>
      </c>
      <c r="S495" t="str">
        <f>"ҚАЗАҚСТАН, АСТАНА, САРЫАРҚА АУДАНЫ, 9/5"</f>
        <v>ҚАЗАҚСТАН, АСТАНА, САРЫАРҚА АУДАНЫ, 9/5</v>
      </c>
      <c r="T495" t="str">
        <f>"9/5"</f>
        <v>9/5</v>
      </c>
      <c r="U495" t="str">
        <f>"9/5"</f>
        <v>9/5</v>
      </c>
      <c r="AC495" t="str">
        <f>"2023-12-22T00:00:00"</f>
        <v>2023-12-22T00:00:00</v>
      </c>
      <c r="AD495" t="str">
        <f>"112"</f>
        <v>112</v>
      </c>
      <c r="AE495" t="str">
        <f>"2023-09-01T11:14:46"</f>
        <v>2023-09-01T11:14:46</v>
      </c>
      <c r="AF495" t="str">
        <f>"2024-05-25T11:14:46"</f>
        <v>2024-05-25T11:14:46</v>
      </c>
      <c r="AG495" t="s">
        <v>646</v>
      </c>
      <c r="AI495" t="s">
        <v>299</v>
      </c>
      <c r="AJ495" t="s">
        <v>300</v>
      </c>
      <c r="AK495" t="s">
        <v>205</v>
      </c>
      <c r="AL495" t="s">
        <v>206</v>
      </c>
      <c r="AN495" t="s">
        <v>207</v>
      </c>
      <c r="AO495">
        <v>1</v>
      </c>
      <c r="AP495" t="s">
        <v>208</v>
      </c>
      <c r="AQ495" t="s">
        <v>209</v>
      </c>
      <c r="AR495" t="s">
        <v>210</v>
      </c>
      <c r="AW495" t="s">
        <v>206</v>
      </c>
      <c r="AX495" t="s">
        <v>211</v>
      </c>
      <c r="AZ495" t="s">
        <v>209</v>
      </c>
      <c r="BI495" t="s">
        <v>212</v>
      </c>
      <c r="BJ495" t="s">
        <v>213</v>
      </c>
      <c r="BK495" t="s">
        <v>214</v>
      </c>
      <c r="BL495" t="s">
        <v>215</v>
      </c>
      <c r="BN495" t="s">
        <v>247</v>
      </c>
      <c r="BO495" t="s">
        <v>209</v>
      </c>
      <c r="BP495" t="s">
        <v>241</v>
      </c>
      <c r="BQ495">
        <v>3</v>
      </c>
      <c r="BS495" t="s">
        <v>219</v>
      </c>
      <c r="BT495" t="s">
        <v>220</v>
      </c>
      <c r="BU495" t="s">
        <v>206</v>
      </c>
      <c r="CA495" t="s">
        <v>287</v>
      </c>
      <c r="CC495" t="s">
        <v>282</v>
      </c>
      <c r="CD495" t="s">
        <v>223</v>
      </c>
      <c r="CE495" t="s">
        <v>242</v>
      </c>
      <c r="CJ495" t="s">
        <v>206</v>
      </c>
      <c r="CK495" t="s">
        <v>230</v>
      </c>
      <c r="CL495" t="s">
        <v>231</v>
      </c>
      <c r="CM495" t="s">
        <v>232</v>
      </c>
      <c r="CN495" t="s">
        <v>233</v>
      </c>
      <c r="CP495" t="s">
        <v>212</v>
      </c>
      <c r="CQ495" t="s">
        <v>212</v>
      </c>
      <c r="CR495" t="s">
        <v>212</v>
      </c>
      <c r="CS495" t="s">
        <v>212</v>
      </c>
      <c r="CY495" t="s">
        <v>212</v>
      </c>
      <c r="DB495" t="s">
        <v>234</v>
      </c>
      <c r="DE495" t="s">
        <v>212</v>
      </c>
      <c r="DF495" t="s">
        <v>212</v>
      </c>
      <c r="DG495" t="s">
        <v>235</v>
      </c>
      <c r="DH495" t="s">
        <v>212</v>
      </c>
      <c r="DJ495" t="s">
        <v>236</v>
      </c>
      <c r="DM495" t="s">
        <v>212</v>
      </c>
    </row>
    <row r="496" spans="1:117" x14ac:dyDescent="0.3">
      <c r="A496">
        <v>27017103</v>
      </c>
      <c r="B496">
        <v>146200</v>
      </c>
      <c r="C496" t="str">
        <f>"100726650688"</f>
        <v>100726650688</v>
      </c>
      <c r="D496" t="s">
        <v>1491</v>
      </c>
      <c r="E496" t="s">
        <v>1492</v>
      </c>
      <c r="F496" t="s">
        <v>418</v>
      </c>
      <c r="G496" s="1">
        <v>40385</v>
      </c>
      <c r="I496" t="s">
        <v>199</v>
      </c>
      <c r="J496" t="s">
        <v>200</v>
      </c>
      <c r="K496" t="s">
        <v>201</v>
      </c>
      <c r="Q496" t="s">
        <v>212</v>
      </c>
      <c r="R496" t="str">
        <f>"КАЗАХСТАН, АСТАНА, ЕСИЛЬСКИЙ РАЙОН, 3/1, 550"</f>
        <v>КАЗАХСТАН, АСТАНА, ЕСИЛЬСКИЙ РАЙОН, 3/1, 550</v>
      </c>
      <c r="S496" t="str">
        <f>"ҚАЗАҚСТАН, АСТАНА, ЕСІЛ АУДАНЫ, 3/1, 550"</f>
        <v>ҚАЗАҚСТАН, АСТАНА, ЕСІЛ АУДАНЫ, 3/1, 550</v>
      </c>
      <c r="T496" t="str">
        <f>"3/1, 550"</f>
        <v>3/1, 550</v>
      </c>
      <c r="U496" t="str">
        <f>"3/1, 550"</f>
        <v>3/1, 550</v>
      </c>
      <c r="AC496" t="str">
        <f>"2024-01-09T00:00:00"</f>
        <v>2024-01-09T00:00:00</v>
      </c>
      <c r="AD496" t="str">
        <f>"7"</f>
        <v>7</v>
      </c>
      <c r="AE496" t="str">
        <f>"2023-09-01T23:12:39"</f>
        <v>2023-09-01T23:12:39</v>
      </c>
      <c r="AF496" t="str">
        <f>"2024-05-25T23:12:39"</f>
        <v>2024-05-25T23:12:39</v>
      </c>
      <c r="AG496" t="s">
        <v>646</v>
      </c>
      <c r="AH496" t="str">
        <f>"astana-mektep5@yandex.kz"</f>
        <v>astana-mektep5@yandex.kz</v>
      </c>
      <c r="AI496" t="s">
        <v>269</v>
      </c>
      <c r="AJ496" t="s">
        <v>286</v>
      </c>
      <c r="AK496" t="s">
        <v>205</v>
      </c>
      <c r="AL496" t="s">
        <v>206</v>
      </c>
      <c r="AN496" t="s">
        <v>207</v>
      </c>
      <c r="AO496">
        <v>1</v>
      </c>
      <c r="AP496" t="s">
        <v>208</v>
      </c>
      <c r="AQ496" t="s">
        <v>209</v>
      </c>
      <c r="AR496" t="s">
        <v>210</v>
      </c>
      <c r="AW496" t="s">
        <v>206</v>
      </c>
      <c r="AX496" t="s">
        <v>211</v>
      </c>
      <c r="AZ496" t="s">
        <v>209</v>
      </c>
      <c r="BI496" t="s">
        <v>212</v>
      </c>
      <c r="BJ496" t="s">
        <v>213</v>
      </c>
      <c r="BK496" t="s">
        <v>214</v>
      </c>
      <c r="BL496" t="s">
        <v>215</v>
      </c>
      <c r="BN496" t="s">
        <v>247</v>
      </c>
      <c r="BO496" t="s">
        <v>209</v>
      </c>
      <c r="BP496" t="s">
        <v>241</v>
      </c>
      <c r="BQ496">
        <v>3</v>
      </c>
      <c r="BS496" t="s">
        <v>219</v>
      </c>
      <c r="BT496" t="s">
        <v>220</v>
      </c>
      <c r="BU496" t="s">
        <v>206</v>
      </c>
      <c r="CA496" t="s">
        <v>287</v>
      </c>
      <c r="CC496" t="s">
        <v>263</v>
      </c>
      <c r="CD496" t="s">
        <v>349</v>
      </c>
      <c r="CE496" t="s">
        <v>242</v>
      </c>
      <c r="CJ496" t="s">
        <v>206</v>
      </c>
      <c r="CK496" t="s">
        <v>230</v>
      </c>
      <c r="CL496" t="s">
        <v>231</v>
      </c>
      <c r="CM496" t="s">
        <v>232</v>
      </c>
      <c r="CN496" t="s">
        <v>233</v>
      </c>
      <c r="CP496" t="s">
        <v>212</v>
      </c>
      <c r="CQ496" t="s">
        <v>212</v>
      </c>
      <c r="CR496" t="s">
        <v>212</v>
      </c>
      <c r="CS496" t="s">
        <v>212</v>
      </c>
      <c r="CY496" t="s">
        <v>212</v>
      </c>
      <c r="DB496" t="s">
        <v>234</v>
      </c>
      <c r="DE496" t="s">
        <v>212</v>
      </c>
      <c r="DF496" t="s">
        <v>212</v>
      </c>
      <c r="DG496" t="s">
        <v>235</v>
      </c>
      <c r="DH496" t="s">
        <v>212</v>
      </c>
      <c r="DJ496" t="s">
        <v>236</v>
      </c>
      <c r="DM496" t="s">
        <v>212</v>
      </c>
    </row>
    <row r="497" spans="1:117" x14ac:dyDescent="0.3">
      <c r="A497">
        <v>354071</v>
      </c>
      <c r="B497">
        <v>319672</v>
      </c>
      <c r="C497" t="str">
        <f>"111216500934"</f>
        <v>111216500934</v>
      </c>
      <c r="D497" t="s">
        <v>1493</v>
      </c>
      <c r="E497" t="s">
        <v>1494</v>
      </c>
      <c r="F497" t="s">
        <v>1495</v>
      </c>
      <c r="G497" s="1">
        <v>40893</v>
      </c>
      <c r="I497" t="s">
        <v>240</v>
      </c>
      <c r="J497" t="s">
        <v>200</v>
      </c>
      <c r="K497" t="s">
        <v>201</v>
      </c>
      <c r="R497" t="str">
        <f>"КАЗАХСТАН, НУР-СУЛТАН, САРЫАРКА РАЙОН, 24/1, 179"</f>
        <v>КАЗАХСТАН, НУР-СУЛТАН, САРЫАРКА РАЙОН, 24/1, 179</v>
      </c>
      <c r="S497" t="str">
        <f>"ҚАЗАҚСТАН, НҰР-СҰЛТАН, САРЫАРҚА АУДАНЫ, 24/1, 179"</f>
        <v>ҚАЗАҚСТАН, НҰР-СҰЛТАН, САРЫАРҚА АУДАНЫ, 24/1, 179</v>
      </c>
      <c r="T497" t="str">
        <f>"24/1, 179"</f>
        <v>24/1, 179</v>
      </c>
      <c r="U497" t="str">
        <f>"24/1, 179"</f>
        <v>24/1, 179</v>
      </c>
      <c r="AC497" t="str">
        <f>"2018-08-29T00:00:00"</f>
        <v>2018-08-29T00:00:00</v>
      </c>
      <c r="AD497" t="str">
        <f>"140"</f>
        <v>140</v>
      </c>
      <c r="AG497" t="s">
        <v>202</v>
      </c>
      <c r="AI497" t="s">
        <v>269</v>
      </c>
      <c r="AJ497" t="s">
        <v>348</v>
      </c>
      <c r="AK497" t="s">
        <v>253</v>
      </c>
      <c r="AL497" t="s">
        <v>206</v>
      </c>
      <c r="AN497" t="s">
        <v>254</v>
      </c>
      <c r="AO497">
        <v>1</v>
      </c>
      <c r="AP497" t="s">
        <v>208</v>
      </c>
      <c r="AQ497" t="s">
        <v>209</v>
      </c>
      <c r="AR497" t="s">
        <v>262</v>
      </c>
      <c r="AW497" t="s">
        <v>206</v>
      </c>
      <c r="AX497" t="s">
        <v>211</v>
      </c>
      <c r="AZ497" t="s">
        <v>209</v>
      </c>
      <c r="BI497" t="s">
        <v>212</v>
      </c>
      <c r="BJ497" t="s">
        <v>213</v>
      </c>
      <c r="BK497" t="s">
        <v>214</v>
      </c>
      <c r="BL497" t="s">
        <v>215</v>
      </c>
      <c r="BN497" t="s">
        <v>216</v>
      </c>
      <c r="BO497" t="s">
        <v>209</v>
      </c>
      <c r="BP497" t="s">
        <v>241</v>
      </c>
      <c r="BQ497">
        <v>5</v>
      </c>
      <c r="BS497" t="s">
        <v>219</v>
      </c>
      <c r="BT497" t="s">
        <v>220</v>
      </c>
      <c r="BU497" t="s">
        <v>206</v>
      </c>
      <c r="BX497" t="s">
        <v>221</v>
      </c>
      <c r="BY497" t="s">
        <v>221</v>
      </c>
      <c r="CA497" t="s">
        <v>256</v>
      </c>
      <c r="CB497" t="s">
        <v>223</v>
      </c>
      <c r="CC497" t="s">
        <v>222</v>
      </c>
      <c r="CD497" t="s">
        <v>223</v>
      </c>
      <c r="CE497" t="s">
        <v>225</v>
      </c>
      <c r="CF497" t="s">
        <v>226</v>
      </c>
      <c r="CG497" t="s">
        <v>227</v>
      </c>
      <c r="CH497" t="s">
        <v>228</v>
      </c>
      <c r="CI497" t="s">
        <v>1496</v>
      </c>
      <c r="CJ497" t="s">
        <v>206</v>
      </c>
      <c r="CK497" t="s">
        <v>230</v>
      </c>
      <c r="CL497" t="s">
        <v>231</v>
      </c>
      <c r="CM497" t="s">
        <v>232</v>
      </c>
      <c r="CN497" t="s">
        <v>233</v>
      </c>
      <c r="CP497" t="s">
        <v>212</v>
      </c>
      <c r="CQ497" t="s">
        <v>212</v>
      </c>
      <c r="CR497" t="s">
        <v>212</v>
      </c>
      <c r="CS497" t="s">
        <v>212</v>
      </c>
      <c r="CY497" t="s">
        <v>212</v>
      </c>
      <c r="DB497" t="s">
        <v>234</v>
      </c>
      <c r="DE497" t="s">
        <v>212</v>
      </c>
      <c r="DF497" t="s">
        <v>212</v>
      </c>
      <c r="DG497" t="s">
        <v>235</v>
      </c>
      <c r="DH497" t="s">
        <v>212</v>
      </c>
      <c r="DJ497" t="s">
        <v>236</v>
      </c>
      <c r="DM497" t="s">
        <v>212</v>
      </c>
    </row>
    <row r="498" spans="1:117" x14ac:dyDescent="0.3">
      <c r="A498">
        <v>354066</v>
      </c>
      <c r="B498">
        <v>319664</v>
      </c>
      <c r="C498" t="str">
        <f>"111130601030"</f>
        <v>111130601030</v>
      </c>
      <c r="D498" t="s">
        <v>485</v>
      </c>
      <c r="E498" t="s">
        <v>950</v>
      </c>
      <c r="F498" t="s">
        <v>1497</v>
      </c>
      <c r="G498" s="1">
        <v>40877</v>
      </c>
      <c r="I498" t="s">
        <v>199</v>
      </c>
      <c r="J498" t="s">
        <v>200</v>
      </c>
      <c r="K498" t="s">
        <v>201</v>
      </c>
      <c r="R498" t="str">
        <f>"КАЗАХСТАН, АКМОЛИНСКАЯ, СТЕПНОГОРСК, -, 10, 111"</f>
        <v>КАЗАХСТАН, АКМОЛИНСКАЯ, СТЕПНОГОРСК, -, 10, 111</v>
      </c>
      <c r="S498" t="str">
        <f>"ҚАЗАҚСТАН, АҚМОЛА, СТЕПНОГОР, -, 10, 111"</f>
        <v>ҚАЗАҚСТАН, АҚМОЛА, СТЕПНОГОР, -, 10, 111</v>
      </c>
      <c r="T498" t="str">
        <f>"-, 10, 111"</f>
        <v>-, 10, 111</v>
      </c>
      <c r="U498" t="str">
        <f>"-, 10, 111"</f>
        <v>-, 10, 111</v>
      </c>
      <c r="AC498" t="str">
        <f>"2018-08-29T00:00:00"</f>
        <v>2018-08-29T00:00:00</v>
      </c>
      <c r="AD498" t="str">
        <f>"140"</f>
        <v>140</v>
      </c>
      <c r="AG498" t="s">
        <v>202</v>
      </c>
      <c r="AI498" t="s">
        <v>203</v>
      </c>
      <c r="AJ498" t="s">
        <v>348</v>
      </c>
      <c r="AK498" t="s">
        <v>253</v>
      </c>
      <c r="AL498" t="s">
        <v>206</v>
      </c>
      <c r="AN498" t="s">
        <v>254</v>
      </c>
      <c r="AO498">
        <v>1</v>
      </c>
      <c r="AP498" t="s">
        <v>208</v>
      </c>
      <c r="AQ498" t="s">
        <v>209</v>
      </c>
      <c r="AR498" t="s">
        <v>210</v>
      </c>
      <c r="AW498" t="s">
        <v>206</v>
      </c>
      <c r="AX498" t="s">
        <v>211</v>
      </c>
      <c r="AZ498" t="s">
        <v>209</v>
      </c>
      <c r="BI498" t="s">
        <v>212</v>
      </c>
      <c r="BJ498" t="s">
        <v>213</v>
      </c>
      <c r="BK498" t="s">
        <v>214</v>
      </c>
      <c r="BL498" t="s">
        <v>215</v>
      </c>
      <c r="BN498" t="s">
        <v>216</v>
      </c>
      <c r="BO498" t="s">
        <v>209</v>
      </c>
      <c r="BP498" t="s">
        <v>241</v>
      </c>
      <c r="BQ498">
        <v>4</v>
      </c>
      <c r="BS498" t="s">
        <v>219</v>
      </c>
      <c r="BT498" t="s">
        <v>220</v>
      </c>
      <c r="BU498" t="s">
        <v>206</v>
      </c>
      <c r="BX498" t="s">
        <v>221</v>
      </c>
      <c r="BY498" t="s">
        <v>221</v>
      </c>
      <c r="CA498" t="s">
        <v>979</v>
      </c>
      <c r="CB498" t="s">
        <v>223</v>
      </c>
      <c r="CC498" t="s">
        <v>1498</v>
      </c>
      <c r="CD498" t="s">
        <v>223</v>
      </c>
      <c r="CE498" t="s">
        <v>342</v>
      </c>
      <c r="CF498" t="s">
        <v>610</v>
      </c>
      <c r="CG498" t="s">
        <v>343</v>
      </c>
      <c r="CH498" t="s">
        <v>228</v>
      </c>
      <c r="CI498" t="s">
        <v>1499</v>
      </c>
      <c r="CJ498" t="s">
        <v>206</v>
      </c>
      <c r="CK498" t="s">
        <v>230</v>
      </c>
      <c r="CL498" t="s">
        <v>231</v>
      </c>
      <c r="CM498" t="s">
        <v>232</v>
      </c>
      <c r="CN498" t="s">
        <v>233</v>
      </c>
      <c r="CP498" t="s">
        <v>212</v>
      </c>
      <c r="CQ498" t="s">
        <v>212</v>
      </c>
      <c r="CR498" t="s">
        <v>212</v>
      </c>
      <c r="CS498" t="s">
        <v>212</v>
      </c>
      <c r="CY498" t="s">
        <v>212</v>
      </c>
      <c r="DB498" t="s">
        <v>234</v>
      </c>
      <c r="DE498" t="s">
        <v>212</v>
      </c>
      <c r="DF498" t="s">
        <v>212</v>
      </c>
      <c r="DG498" t="s">
        <v>235</v>
      </c>
      <c r="DH498" t="s">
        <v>212</v>
      </c>
      <c r="DJ498" t="s">
        <v>236</v>
      </c>
      <c r="DM498" t="s">
        <v>212</v>
      </c>
    </row>
    <row r="499" spans="1:117" x14ac:dyDescent="0.3">
      <c r="A499">
        <v>354044</v>
      </c>
      <c r="B499">
        <v>319637</v>
      </c>
      <c r="C499" t="str">
        <f>"101208501283"</f>
        <v>101208501283</v>
      </c>
      <c r="D499" t="s">
        <v>350</v>
      </c>
      <c r="E499" t="s">
        <v>826</v>
      </c>
      <c r="F499" t="s">
        <v>676</v>
      </c>
      <c r="G499" s="1">
        <v>40520</v>
      </c>
      <c r="I499" t="s">
        <v>240</v>
      </c>
      <c r="J499" t="s">
        <v>200</v>
      </c>
      <c r="K499" t="s">
        <v>260</v>
      </c>
      <c r="Q499" t="s">
        <v>212</v>
      </c>
      <c r="R499" t="str">
        <f>"КАЗАХСТАН, АКМОЛИНСКАЯ, СТЕПНОГОРСК, 87, 96"</f>
        <v>КАЗАХСТАН, АКМОЛИНСКАЯ, СТЕПНОГОРСК, 87, 96</v>
      </c>
      <c r="S499" t="str">
        <f>"ҚАЗАҚСТАН, АҚМОЛА, СТЕПНОГОР, 87, 96"</f>
        <v>ҚАЗАҚСТАН, АҚМОЛА, СТЕПНОГОР, 87, 96</v>
      </c>
      <c r="T499" t="str">
        <f>"87, 96"</f>
        <v>87, 96</v>
      </c>
      <c r="U499" t="str">
        <f>"87, 96"</f>
        <v>87, 96</v>
      </c>
      <c r="AC499" t="str">
        <f>"2017-08-29T00:00:00"</f>
        <v>2017-08-29T00:00:00</v>
      </c>
      <c r="AD499" t="str">
        <f>"112"</f>
        <v>112</v>
      </c>
      <c r="AG499" t="s">
        <v>202</v>
      </c>
      <c r="AI499" t="s">
        <v>274</v>
      </c>
      <c r="AJ499" t="s">
        <v>300</v>
      </c>
      <c r="AK499" t="s">
        <v>205</v>
      </c>
      <c r="AL499" t="s">
        <v>206</v>
      </c>
      <c r="AN499" t="s">
        <v>207</v>
      </c>
      <c r="AO499">
        <v>1</v>
      </c>
      <c r="AP499" t="s">
        <v>208</v>
      </c>
      <c r="AQ499" t="s">
        <v>209</v>
      </c>
      <c r="AR499" t="s">
        <v>210</v>
      </c>
      <c r="AW499" t="s">
        <v>206</v>
      </c>
      <c r="AX499" t="s">
        <v>211</v>
      </c>
      <c r="AZ499" t="s">
        <v>209</v>
      </c>
      <c r="BI499" t="s">
        <v>212</v>
      </c>
      <c r="BJ499" t="s">
        <v>213</v>
      </c>
      <c r="BK499" t="s">
        <v>214</v>
      </c>
      <c r="BL499" t="s">
        <v>215</v>
      </c>
      <c r="BN499" t="s">
        <v>281</v>
      </c>
      <c r="BO499" t="s">
        <v>209</v>
      </c>
      <c r="BP499" t="s">
        <v>241</v>
      </c>
      <c r="BQ499">
        <v>5</v>
      </c>
      <c r="BS499" t="s">
        <v>219</v>
      </c>
      <c r="BT499" t="s">
        <v>220</v>
      </c>
      <c r="BU499" t="s">
        <v>206</v>
      </c>
      <c r="BX499" t="s">
        <v>221</v>
      </c>
      <c r="BY499" t="s">
        <v>221</v>
      </c>
      <c r="CA499" t="s">
        <v>222</v>
      </c>
      <c r="CB499" t="s">
        <v>223</v>
      </c>
      <c r="CC499" t="s">
        <v>224</v>
      </c>
      <c r="CD499" t="s">
        <v>223</v>
      </c>
      <c r="CE499" t="s">
        <v>242</v>
      </c>
      <c r="CJ499" t="s">
        <v>206</v>
      </c>
      <c r="CK499" t="s">
        <v>230</v>
      </c>
      <c r="CL499" t="s">
        <v>231</v>
      </c>
      <c r="CM499" t="s">
        <v>232</v>
      </c>
      <c r="CN499" t="s">
        <v>233</v>
      </c>
      <c r="CP499" t="s">
        <v>212</v>
      </c>
      <c r="CQ499" t="s">
        <v>212</v>
      </c>
      <c r="CR499" t="s">
        <v>212</v>
      </c>
      <c r="CS499" t="s">
        <v>212</v>
      </c>
      <c r="CY499" t="s">
        <v>212</v>
      </c>
      <c r="DB499" t="s">
        <v>234</v>
      </c>
      <c r="DE499" t="s">
        <v>212</v>
      </c>
      <c r="DF499" t="s">
        <v>212</v>
      </c>
      <c r="DG499" t="s">
        <v>235</v>
      </c>
      <c r="DH499" t="s">
        <v>212</v>
      </c>
      <c r="DJ499" t="s">
        <v>236</v>
      </c>
      <c r="DM499" t="s">
        <v>212</v>
      </c>
    </row>
    <row r="500" spans="1:117" x14ac:dyDescent="0.3">
      <c r="A500">
        <v>353990</v>
      </c>
      <c r="B500">
        <v>319582</v>
      </c>
      <c r="C500" t="str">
        <f>"120711501328"</f>
        <v>120711501328</v>
      </c>
      <c r="D500" t="s">
        <v>905</v>
      </c>
      <c r="E500" t="s">
        <v>1500</v>
      </c>
      <c r="F500" t="s">
        <v>1274</v>
      </c>
      <c r="G500" s="1">
        <v>41101</v>
      </c>
      <c r="I500" t="s">
        <v>240</v>
      </c>
      <c r="J500" t="s">
        <v>200</v>
      </c>
      <c r="K500" t="s">
        <v>201</v>
      </c>
      <c r="Q500" t="s">
        <v>212</v>
      </c>
      <c r="R500" t="str">
        <f>"КАЗАХСТАН, АКМОЛИНСКАЯ, СТЕПНОГОРСК, 86, 49"</f>
        <v>КАЗАХСТАН, АКМОЛИНСКАЯ, СТЕПНОГОРСК, 86, 49</v>
      </c>
      <c r="S500" t="str">
        <f>"ҚАЗАҚСТАН, АҚМОЛА, СТЕПНОГОР, 86, 49"</f>
        <v>ҚАЗАҚСТАН, АҚМОЛА, СТЕПНОГОР, 86, 49</v>
      </c>
      <c r="T500" t="str">
        <f>"86, 49"</f>
        <v>86, 49</v>
      </c>
      <c r="U500" t="str">
        <f>"86, 49"</f>
        <v>86, 49</v>
      </c>
      <c r="AC500" t="str">
        <f>"2019-08-29T00:00:00"</f>
        <v>2019-08-29T00:00:00</v>
      </c>
      <c r="AD500" t="str">
        <f>"1"</f>
        <v>1</v>
      </c>
      <c r="AG500" t="s">
        <v>202</v>
      </c>
      <c r="AI500" t="s">
        <v>274</v>
      </c>
      <c r="AJ500" t="s">
        <v>419</v>
      </c>
      <c r="AK500" t="s">
        <v>261</v>
      </c>
      <c r="AL500" t="s">
        <v>206</v>
      </c>
      <c r="AN500" t="s">
        <v>207</v>
      </c>
      <c r="AO500">
        <v>1</v>
      </c>
      <c r="AP500" t="s">
        <v>208</v>
      </c>
      <c r="AQ500" t="s">
        <v>209</v>
      </c>
      <c r="AR500" t="s">
        <v>210</v>
      </c>
      <c r="AW500" t="s">
        <v>206</v>
      </c>
      <c r="AX500" t="s">
        <v>211</v>
      </c>
      <c r="AZ500" t="s">
        <v>209</v>
      </c>
      <c r="BI500" t="s">
        <v>212</v>
      </c>
      <c r="BJ500" t="s">
        <v>213</v>
      </c>
      <c r="BK500" t="s">
        <v>214</v>
      </c>
      <c r="BL500" t="s">
        <v>215</v>
      </c>
      <c r="BN500" t="s">
        <v>281</v>
      </c>
      <c r="BO500" t="s">
        <v>209</v>
      </c>
      <c r="BP500" t="s">
        <v>241</v>
      </c>
      <c r="BQ500">
        <v>5</v>
      </c>
      <c r="BS500" t="s">
        <v>219</v>
      </c>
      <c r="BT500" t="s">
        <v>220</v>
      </c>
      <c r="BU500" t="s">
        <v>206</v>
      </c>
      <c r="BX500" t="s">
        <v>221</v>
      </c>
      <c r="BY500" t="s">
        <v>221</v>
      </c>
      <c r="CA500" t="s">
        <v>287</v>
      </c>
      <c r="CC500" t="s">
        <v>301</v>
      </c>
      <c r="CD500" t="s">
        <v>223</v>
      </c>
      <c r="CE500" t="s">
        <v>242</v>
      </c>
      <c r="CJ500" t="s">
        <v>206</v>
      </c>
      <c r="CK500" t="s">
        <v>230</v>
      </c>
      <c r="CL500" t="s">
        <v>231</v>
      </c>
      <c r="CM500" t="s">
        <v>232</v>
      </c>
      <c r="CN500" t="s">
        <v>233</v>
      </c>
      <c r="CP500" t="s">
        <v>212</v>
      </c>
      <c r="CQ500" t="s">
        <v>212</v>
      </c>
      <c r="CR500" t="s">
        <v>212</v>
      </c>
      <c r="CS500" t="s">
        <v>212</v>
      </c>
      <c r="CY500" t="s">
        <v>212</v>
      </c>
      <c r="DB500" t="s">
        <v>234</v>
      </c>
      <c r="DE500" t="s">
        <v>212</v>
      </c>
      <c r="DF500" t="s">
        <v>206</v>
      </c>
      <c r="DG500" t="s">
        <v>235</v>
      </c>
      <c r="DH500" t="s">
        <v>212</v>
      </c>
      <c r="DJ500" t="s">
        <v>236</v>
      </c>
      <c r="DM500" t="s">
        <v>206</v>
      </c>
    </row>
    <row r="501" spans="1:117" x14ac:dyDescent="0.3">
      <c r="A501">
        <v>27097143</v>
      </c>
      <c r="B501">
        <v>8862469</v>
      </c>
      <c r="C501" t="str">
        <f>"170404500706"</f>
        <v>170404500706</v>
      </c>
      <c r="D501" t="s">
        <v>1501</v>
      </c>
      <c r="E501" t="s">
        <v>1502</v>
      </c>
      <c r="F501" t="s">
        <v>1503</v>
      </c>
      <c r="G501" s="1">
        <v>42829</v>
      </c>
      <c r="I501" t="s">
        <v>240</v>
      </c>
      <c r="J501" t="s">
        <v>200</v>
      </c>
      <c r="K501" t="s">
        <v>201</v>
      </c>
      <c r="R501" t="str">
        <f>"КАЗАХСТАН, АКМОЛИНСКАЯ, СТЕПНОГОРСК, 12, 51"</f>
        <v>КАЗАХСТАН, АКМОЛИНСКАЯ, СТЕПНОГОРСК, 12, 51</v>
      </c>
      <c r="S501" t="str">
        <f>"ҚАЗАҚСТАН, АҚМОЛА, СТЕПНОГОР, 12, 51"</f>
        <v>ҚАЗАҚСТАН, АҚМОЛА, СТЕПНОГОР, 12, 51</v>
      </c>
      <c r="T501" t="str">
        <f>"12, 51"</f>
        <v>12, 51</v>
      </c>
      <c r="U501" t="str">
        <f>"12, 51"</f>
        <v>12, 51</v>
      </c>
      <c r="AC501" t="str">
        <f>"2024-01-24T00:00:00"</f>
        <v>2024-01-24T00:00:00</v>
      </c>
      <c r="AD501" t="str">
        <f>"12"</f>
        <v>12</v>
      </c>
      <c r="AE501" t="str">
        <f>"2023-09-01T22:35:24"</f>
        <v>2023-09-01T22:35:24</v>
      </c>
      <c r="AF501" t="str">
        <f>"2024-05-25T22:35:24"</f>
        <v>2024-05-25T22:35:24</v>
      </c>
      <c r="AG501" t="s">
        <v>202</v>
      </c>
      <c r="AI501" t="s">
        <v>269</v>
      </c>
      <c r="AJ501" t="s">
        <v>660</v>
      </c>
      <c r="AK501" t="s">
        <v>253</v>
      </c>
      <c r="AL501" t="s">
        <v>206</v>
      </c>
      <c r="AN501" t="s">
        <v>254</v>
      </c>
      <c r="AO501">
        <v>1</v>
      </c>
      <c r="AP501" t="s">
        <v>208</v>
      </c>
      <c r="AQ501" t="s">
        <v>209</v>
      </c>
      <c r="AR501" t="s">
        <v>502</v>
      </c>
      <c r="AW501" t="s">
        <v>212</v>
      </c>
      <c r="AZ501" t="s">
        <v>209</v>
      </c>
      <c r="BI501" t="s">
        <v>212</v>
      </c>
      <c r="BJ501" t="s">
        <v>213</v>
      </c>
      <c r="BK501" t="s">
        <v>214</v>
      </c>
      <c r="BL501" t="s">
        <v>357</v>
      </c>
      <c r="BN501" t="s">
        <v>661</v>
      </c>
      <c r="BO501" t="s">
        <v>209</v>
      </c>
      <c r="BS501" t="s">
        <v>220</v>
      </c>
      <c r="BU501" t="s">
        <v>212</v>
      </c>
      <c r="BZ501" t="s">
        <v>1504</v>
      </c>
      <c r="CA501" t="s">
        <v>287</v>
      </c>
      <c r="CC501" t="s">
        <v>209</v>
      </c>
      <c r="CE501" t="s">
        <v>242</v>
      </c>
      <c r="CJ501" t="s">
        <v>206</v>
      </c>
      <c r="CK501" t="s">
        <v>1505</v>
      </c>
      <c r="CL501" t="s">
        <v>1506</v>
      </c>
      <c r="CM501" t="s">
        <v>232</v>
      </c>
      <c r="CN501" t="s">
        <v>233</v>
      </c>
      <c r="CP501" t="s">
        <v>212</v>
      </c>
      <c r="CQ501" t="s">
        <v>212</v>
      </c>
      <c r="CR501" t="s">
        <v>212</v>
      </c>
      <c r="CS501" t="s">
        <v>212</v>
      </c>
      <c r="CY501" t="s">
        <v>212</v>
      </c>
      <c r="DB501" t="s">
        <v>234</v>
      </c>
      <c r="DE501" t="s">
        <v>212</v>
      </c>
      <c r="DF501" t="s">
        <v>212</v>
      </c>
      <c r="DG501" t="s">
        <v>235</v>
      </c>
      <c r="DH501" t="s">
        <v>212</v>
      </c>
      <c r="DJ501" t="s">
        <v>236</v>
      </c>
      <c r="DM501" t="s">
        <v>212</v>
      </c>
    </row>
    <row r="502" spans="1:117" x14ac:dyDescent="0.3">
      <c r="A502">
        <v>27097149</v>
      </c>
      <c r="B502">
        <v>771424</v>
      </c>
      <c r="C502" t="str">
        <f>"150512501202"</f>
        <v>150512501202</v>
      </c>
      <c r="D502" t="s">
        <v>1501</v>
      </c>
      <c r="E502" t="s">
        <v>1380</v>
      </c>
      <c r="F502" t="s">
        <v>1503</v>
      </c>
      <c r="G502" s="1">
        <v>42136</v>
      </c>
      <c r="I502" t="s">
        <v>240</v>
      </c>
      <c r="J502" t="s">
        <v>200</v>
      </c>
      <c r="K502" t="s">
        <v>201</v>
      </c>
      <c r="R502" t="str">
        <f>"КАЗАХСТАН, АКМОЛИНСКАЯ, СТЕПНОГОРСК, 12, 51"</f>
        <v>КАЗАХСТАН, АКМОЛИНСКАЯ, СТЕПНОГОРСК, 12, 51</v>
      </c>
      <c r="S502" t="str">
        <f>"ҚАЗАҚСТАН, АҚМОЛА, СТЕПНОГОР, 12, 51"</f>
        <v>ҚАЗАҚСТАН, АҚМОЛА, СТЕПНОГОР, 12, 51</v>
      </c>
      <c r="T502" t="str">
        <f>"12, 51"</f>
        <v>12, 51</v>
      </c>
      <c r="U502" t="str">
        <f>"12, 51"</f>
        <v>12, 51</v>
      </c>
      <c r="AC502" t="str">
        <f>"2024-01-24T00:00:00"</f>
        <v>2024-01-24T00:00:00</v>
      </c>
      <c r="AD502" t="str">
        <f>"12"</f>
        <v>12</v>
      </c>
      <c r="AE502" t="str">
        <f>"2023-09-01T22:37:10"</f>
        <v>2023-09-01T22:37:10</v>
      </c>
      <c r="AF502" t="str">
        <f>"2024-05-25T22:37:10"</f>
        <v>2024-05-25T22:37:10</v>
      </c>
      <c r="AG502" t="s">
        <v>202</v>
      </c>
      <c r="AI502" t="s">
        <v>299</v>
      </c>
      <c r="AJ502" t="s">
        <v>540</v>
      </c>
      <c r="AK502" t="s">
        <v>253</v>
      </c>
      <c r="AL502" t="s">
        <v>206</v>
      </c>
      <c r="AN502" t="s">
        <v>254</v>
      </c>
      <c r="AO502">
        <v>2</v>
      </c>
      <c r="AP502" t="s">
        <v>208</v>
      </c>
      <c r="AQ502" t="s">
        <v>209</v>
      </c>
      <c r="AR502" t="s">
        <v>502</v>
      </c>
      <c r="AW502" t="s">
        <v>212</v>
      </c>
      <c r="AZ502" t="s">
        <v>209</v>
      </c>
      <c r="BI502" t="s">
        <v>212</v>
      </c>
      <c r="BJ502" t="s">
        <v>213</v>
      </c>
      <c r="BK502" t="s">
        <v>214</v>
      </c>
      <c r="BL502" t="s">
        <v>357</v>
      </c>
      <c r="BN502" t="s">
        <v>247</v>
      </c>
      <c r="BO502" t="s">
        <v>209</v>
      </c>
      <c r="BP502" t="s">
        <v>241</v>
      </c>
      <c r="BQ502">
        <v>3</v>
      </c>
      <c r="BS502" t="s">
        <v>219</v>
      </c>
      <c r="BT502" t="s">
        <v>220</v>
      </c>
      <c r="BU502" t="s">
        <v>206</v>
      </c>
      <c r="BZ502" t="s">
        <v>541</v>
      </c>
      <c r="CA502" t="s">
        <v>287</v>
      </c>
      <c r="CC502" t="s">
        <v>222</v>
      </c>
      <c r="CD502" t="s">
        <v>223</v>
      </c>
      <c r="CE502" t="s">
        <v>242</v>
      </c>
      <c r="CJ502" t="s">
        <v>206</v>
      </c>
      <c r="CK502" t="s">
        <v>230</v>
      </c>
      <c r="CL502" t="s">
        <v>231</v>
      </c>
      <c r="CM502" t="s">
        <v>232</v>
      </c>
      <c r="CN502" t="s">
        <v>233</v>
      </c>
      <c r="CP502" t="s">
        <v>212</v>
      </c>
      <c r="CQ502" t="s">
        <v>212</v>
      </c>
      <c r="CR502" t="s">
        <v>212</v>
      </c>
      <c r="CS502" t="s">
        <v>212</v>
      </c>
      <c r="CY502" t="s">
        <v>212</v>
      </c>
      <c r="DB502" t="s">
        <v>234</v>
      </c>
      <c r="DE502" t="s">
        <v>212</v>
      </c>
      <c r="DF502" t="s">
        <v>212</v>
      </c>
      <c r="DG502" t="s">
        <v>235</v>
      </c>
      <c r="DH502" t="s">
        <v>212</v>
      </c>
      <c r="DJ502" t="s">
        <v>236</v>
      </c>
      <c r="DM502" t="s">
        <v>212</v>
      </c>
    </row>
    <row r="503" spans="1:117" x14ac:dyDescent="0.3">
      <c r="A503">
        <v>353954</v>
      </c>
      <c r="B503">
        <v>319557</v>
      </c>
      <c r="C503" t="str">
        <f>"120113501288"</f>
        <v>120113501288</v>
      </c>
      <c r="D503" t="s">
        <v>1507</v>
      </c>
      <c r="E503" t="s">
        <v>315</v>
      </c>
      <c r="F503" t="s">
        <v>1468</v>
      </c>
      <c r="G503" s="1">
        <v>40921</v>
      </c>
      <c r="I503" t="s">
        <v>240</v>
      </c>
      <c r="J503" t="s">
        <v>200</v>
      </c>
      <c r="K503" t="s">
        <v>201</v>
      </c>
      <c r="R503" t="str">
        <f>"КАЗАХСТАН, АКМОЛИНСКАЯ, СТЕПНОГОРСК, 15, 39"</f>
        <v>КАЗАХСТАН, АКМОЛИНСКАЯ, СТЕПНОГОРСК, 15, 39</v>
      </c>
      <c r="S503" t="str">
        <f>"ҚАЗАҚСТАН, АҚМОЛА, СТЕПНОГОР, 15, 39"</f>
        <v>ҚАЗАҚСТАН, АҚМОЛА, СТЕПНОГОР, 15, 39</v>
      </c>
      <c r="T503" t="str">
        <f>"15, 39"</f>
        <v>15, 39</v>
      </c>
      <c r="U503" t="str">
        <f>"15, 39"</f>
        <v>15, 39</v>
      </c>
      <c r="AC503" t="str">
        <f>"2018-08-29T00:00:00"</f>
        <v>2018-08-29T00:00:00</v>
      </c>
      <c r="AD503" t="str">
        <f>"140"</f>
        <v>140</v>
      </c>
      <c r="AG503" t="s">
        <v>202</v>
      </c>
      <c r="AI503" t="s">
        <v>203</v>
      </c>
      <c r="AJ503" t="s">
        <v>348</v>
      </c>
      <c r="AK503" t="s">
        <v>261</v>
      </c>
      <c r="AL503" t="s">
        <v>206</v>
      </c>
      <c r="AN503" t="s">
        <v>207</v>
      </c>
      <c r="AO503">
        <v>1</v>
      </c>
      <c r="AP503" t="s">
        <v>208</v>
      </c>
      <c r="AQ503" t="s">
        <v>209</v>
      </c>
      <c r="AR503" t="s">
        <v>262</v>
      </c>
      <c r="AW503" t="s">
        <v>206</v>
      </c>
      <c r="AX503" t="s">
        <v>211</v>
      </c>
      <c r="AZ503" t="s">
        <v>209</v>
      </c>
      <c r="BI503" t="s">
        <v>212</v>
      </c>
      <c r="BJ503" t="s">
        <v>213</v>
      </c>
      <c r="BK503" t="s">
        <v>214</v>
      </c>
      <c r="BL503" t="s">
        <v>215</v>
      </c>
      <c r="BN503" t="s">
        <v>216</v>
      </c>
      <c r="BO503" t="s">
        <v>209</v>
      </c>
      <c r="BP503" t="s">
        <v>415</v>
      </c>
      <c r="BQ503" t="s">
        <v>673</v>
      </c>
      <c r="BS503" t="s">
        <v>219</v>
      </c>
      <c r="BT503" t="s">
        <v>220</v>
      </c>
      <c r="BU503" t="s">
        <v>206</v>
      </c>
      <c r="BX503" t="s">
        <v>221</v>
      </c>
      <c r="BY503" t="s">
        <v>221</v>
      </c>
      <c r="CA503" t="s">
        <v>222</v>
      </c>
      <c r="CB503" t="s">
        <v>223</v>
      </c>
      <c r="CC503" t="s">
        <v>222</v>
      </c>
      <c r="CD503" t="s">
        <v>223</v>
      </c>
      <c r="CE503" t="s">
        <v>242</v>
      </c>
      <c r="CJ503" t="s">
        <v>206</v>
      </c>
      <c r="CK503" t="s">
        <v>230</v>
      </c>
      <c r="CL503" t="s">
        <v>231</v>
      </c>
      <c r="CM503" t="s">
        <v>232</v>
      </c>
      <c r="CN503" t="s">
        <v>233</v>
      </c>
      <c r="CP503" t="s">
        <v>212</v>
      </c>
      <c r="CQ503" t="s">
        <v>212</v>
      </c>
      <c r="CR503" t="s">
        <v>212</v>
      </c>
      <c r="CS503" t="s">
        <v>212</v>
      </c>
      <c r="CY503" t="s">
        <v>212</v>
      </c>
      <c r="DB503" t="s">
        <v>234</v>
      </c>
      <c r="DE503" t="s">
        <v>212</v>
      </c>
      <c r="DF503" t="s">
        <v>212</v>
      </c>
      <c r="DG503" t="s">
        <v>235</v>
      </c>
      <c r="DH503" t="s">
        <v>212</v>
      </c>
      <c r="DJ503" t="s">
        <v>236</v>
      </c>
      <c r="DM503" t="s">
        <v>212</v>
      </c>
    </row>
    <row r="504" spans="1:117" x14ac:dyDescent="0.3">
      <c r="A504">
        <v>353759</v>
      </c>
      <c r="B504">
        <v>319399</v>
      </c>
      <c r="C504" t="str">
        <f>"120228602614"</f>
        <v>120228602614</v>
      </c>
      <c r="D504" t="s">
        <v>1508</v>
      </c>
      <c r="E504" t="s">
        <v>516</v>
      </c>
      <c r="F504" t="s">
        <v>1509</v>
      </c>
      <c r="G504" s="1">
        <v>40967</v>
      </c>
      <c r="I504" t="s">
        <v>199</v>
      </c>
      <c r="J504" t="s">
        <v>200</v>
      </c>
      <c r="K504" t="s">
        <v>260</v>
      </c>
      <c r="Q504" t="s">
        <v>212</v>
      </c>
      <c r="R504" t="str">
        <f>"КАЗАХСТАН, АКМОЛИНСКАЯ, СТЕПНОГОРСК, 25, 17"</f>
        <v>КАЗАХСТАН, АКМОЛИНСКАЯ, СТЕПНОГОРСК, 25, 17</v>
      </c>
      <c r="S504" t="str">
        <f>"ҚАЗАҚСТАН, АҚМОЛА, СТЕПНОГОР, 25, 17"</f>
        <v>ҚАЗАҚСТАН, АҚМОЛА, СТЕПНОГОР, 25, 17</v>
      </c>
      <c r="T504" t="str">
        <f>"25, 17"</f>
        <v>25, 17</v>
      </c>
      <c r="U504" t="str">
        <f>"25, 17"</f>
        <v>25, 17</v>
      </c>
      <c r="AC504" t="str">
        <f>"2019-06-27T00:00:00"</f>
        <v>2019-06-27T00:00:00</v>
      </c>
      <c r="AD504" t="str">
        <f>"100"</f>
        <v>100</v>
      </c>
      <c r="AG504" t="s">
        <v>333</v>
      </c>
      <c r="AI504" t="s">
        <v>299</v>
      </c>
      <c r="AJ504" t="s">
        <v>419</v>
      </c>
      <c r="AK504" t="s">
        <v>261</v>
      </c>
      <c r="AL504" t="s">
        <v>206</v>
      </c>
      <c r="AN504" t="s">
        <v>207</v>
      </c>
      <c r="AO504">
        <v>1</v>
      </c>
      <c r="AP504" t="s">
        <v>208</v>
      </c>
      <c r="AQ504" t="s">
        <v>209</v>
      </c>
      <c r="AR504" t="s">
        <v>210</v>
      </c>
      <c r="AW504" t="s">
        <v>206</v>
      </c>
      <c r="AX504" t="s">
        <v>211</v>
      </c>
      <c r="AZ504" t="s">
        <v>209</v>
      </c>
      <c r="BI504" t="s">
        <v>212</v>
      </c>
      <c r="BJ504" t="s">
        <v>213</v>
      </c>
      <c r="BK504" t="s">
        <v>214</v>
      </c>
      <c r="BL504" t="s">
        <v>215</v>
      </c>
      <c r="BN504" t="s">
        <v>216</v>
      </c>
      <c r="BO504" t="s">
        <v>209</v>
      </c>
      <c r="BP504" t="s">
        <v>241</v>
      </c>
      <c r="BQ504">
        <v>4</v>
      </c>
      <c r="BS504" t="s">
        <v>219</v>
      </c>
      <c r="BT504" t="s">
        <v>220</v>
      </c>
      <c r="BU504" t="s">
        <v>206</v>
      </c>
      <c r="BX504" t="s">
        <v>221</v>
      </c>
      <c r="BY504" t="s">
        <v>221</v>
      </c>
      <c r="CA504" t="s">
        <v>287</v>
      </c>
      <c r="CC504" t="s">
        <v>222</v>
      </c>
      <c r="CD504" t="s">
        <v>223</v>
      </c>
      <c r="CE504" t="s">
        <v>242</v>
      </c>
      <c r="CJ504" t="s">
        <v>206</v>
      </c>
      <c r="CK504" t="s">
        <v>230</v>
      </c>
      <c r="CL504" t="s">
        <v>231</v>
      </c>
      <c r="CM504" t="s">
        <v>232</v>
      </c>
      <c r="CN504" t="s">
        <v>233</v>
      </c>
      <c r="CP504" t="s">
        <v>212</v>
      </c>
      <c r="CQ504" t="s">
        <v>212</v>
      </c>
      <c r="CR504" t="s">
        <v>212</v>
      </c>
      <c r="CS504" t="s">
        <v>212</v>
      </c>
      <c r="CY504" t="s">
        <v>212</v>
      </c>
      <c r="DB504" t="s">
        <v>234</v>
      </c>
      <c r="DE504" t="s">
        <v>212</v>
      </c>
      <c r="DF504" t="s">
        <v>212</v>
      </c>
      <c r="DG504" t="s">
        <v>235</v>
      </c>
      <c r="DH504" t="s">
        <v>212</v>
      </c>
      <c r="DJ504" t="s">
        <v>236</v>
      </c>
      <c r="DM504" t="s">
        <v>212</v>
      </c>
    </row>
    <row r="505" spans="1:117" x14ac:dyDescent="0.3">
      <c r="A505">
        <v>353730</v>
      </c>
      <c r="B505">
        <v>319373</v>
      </c>
      <c r="C505" t="str">
        <f>"120213500500"</f>
        <v>120213500500</v>
      </c>
      <c r="D505" t="s">
        <v>1510</v>
      </c>
      <c r="E505" t="s">
        <v>1383</v>
      </c>
      <c r="F505" t="s">
        <v>1398</v>
      </c>
      <c r="G505" s="1">
        <v>40952</v>
      </c>
      <c r="I505" t="s">
        <v>240</v>
      </c>
      <c r="J505" t="s">
        <v>200</v>
      </c>
      <c r="K505" t="s">
        <v>201</v>
      </c>
      <c r="R505" t="str">
        <f>"КАЗАХСТАН, АКМОЛИНСКАЯ, СТЕПНОГОРСК, 33, 15"</f>
        <v>КАЗАХСТАН, АКМОЛИНСКАЯ, СТЕПНОГОРСК, 33, 15</v>
      </c>
      <c r="S505" t="str">
        <f>"ҚАЗАҚСТАН, АҚМОЛА, СТЕПНОГОР, 33, 15"</f>
        <v>ҚАЗАҚСТАН, АҚМОЛА, СТЕПНОГОР, 33, 15</v>
      </c>
      <c r="T505" t="str">
        <f>"33, 15"</f>
        <v>33, 15</v>
      </c>
      <c r="U505" t="str">
        <f>"33, 15"</f>
        <v>33, 15</v>
      </c>
      <c r="AC505" t="str">
        <f>"2018-08-29T00:00:00"</f>
        <v>2018-08-29T00:00:00</v>
      </c>
      <c r="AD505" t="str">
        <f>"140"</f>
        <v>140</v>
      </c>
      <c r="AG505" t="s">
        <v>202</v>
      </c>
      <c r="AI505" t="s">
        <v>274</v>
      </c>
      <c r="AJ505" t="s">
        <v>348</v>
      </c>
      <c r="AK505" t="s">
        <v>205</v>
      </c>
      <c r="AL505" t="s">
        <v>206</v>
      </c>
      <c r="AN505" t="s">
        <v>207</v>
      </c>
      <c r="AO505">
        <v>1</v>
      </c>
      <c r="AP505" t="s">
        <v>208</v>
      </c>
      <c r="AQ505" t="s">
        <v>209</v>
      </c>
      <c r="AR505" t="s">
        <v>210</v>
      </c>
      <c r="AW505" t="s">
        <v>206</v>
      </c>
      <c r="AX505" t="s">
        <v>211</v>
      </c>
      <c r="AZ505" t="s">
        <v>209</v>
      </c>
      <c r="BI505" t="s">
        <v>212</v>
      </c>
      <c r="BJ505" t="s">
        <v>213</v>
      </c>
      <c r="BK505" t="s">
        <v>214</v>
      </c>
      <c r="BL505" t="s">
        <v>215</v>
      </c>
      <c r="BN505" t="s">
        <v>216</v>
      </c>
      <c r="BO505" t="s">
        <v>209</v>
      </c>
      <c r="BP505" t="s">
        <v>241</v>
      </c>
      <c r="BQ505">
        <v>4</v>
      </c>
      <c r="BS505" t="s">
        <v>219</v>
      </c>
      <c r="BT505" t="s">
        <v>220</v>
      </c>
      <c r="BU505" t="s">
        <v>206</v>
      </c>
      <c r="BX505" t="s">
        <v>221</v>
      </c>
      <c r="BY505" t="s">
        <v>221</v>
      </c>
      <c r="CA505" t="s">
        <v>222</v>
      </c>
      <c r="CB505" t="s">
        <v>223</v>
      </c>
      <c r="CC505" t="s">
        <v>224</v>
      </c>
      <c r="CD505" t="s">
        <v>223</v>
      </c>
      <c r="CE505" t="s">
        <v>342</v>
      </c>
      <c r="CF505" t="s">
        <v>226</v>
      </c>
      <c r="CG505" t="s">
        <v>227</v>
      </c>
      <c r="CH505" t="s">
        <v>209</v>
      </c>
      <c r="CI505" t="s">
        <v>1511</v>
      </c>
      <c r="CJ505" t="s">
        <v>206</v>
      </c>
      <c r="CK505" t="s">
        <v>230</v>
      </c>
      <c r="CL505" t="s">
        <v>231</v>
      </c>
      <c r="CM505" t="s">
        <v>232</v>
      </c>
      <c r="CN505" t="s">
        <v>233</v>
      </c>
      <c r="CP505" t="s">
        <v>212</v>
      </c>
      <c r="CQ505" t="s">
        <v>212</v>
      </c>
      <c r="CR505" t="s">
        <v>212</v>
      </c>
      <c r="CS505" t="s">
        <v>212</v>
      </c>
      <c r="CY505" t="s">
        <v>212</v>
      </c>
      <c r="DB505" t="s">
        <v>234</v>
      </c>
      <c r="DE505" t="s">
        <v>212</v>
      </c>
      <c r="DF505" t="s">
        <v>212</v>
      </c>
      <c r="DG505" t="s">
        <v>235</v>
      </c>
      <c r="DH505" t="s">
        <v>212</v>
      </c>
      <c r="DJ505" t="s">
        <v>236</v>
      </c>
      <c r="DM505" t="s">
        <v>212</v>
      </c>
    </row>
    <row r="506" spans="1:117" x14ac:dyDescent="0.3">
      <c r="A506">
        <v>353677</v>
      </c>
      <c r="B506">
        <v>280704</v>
      </c>
      <c r="C506" t="str">
        <f>"120721600985"</f>
        <v>120721600985</v>
      </c>
      <c r="D506" t="s">
        <v>1512</v>
      </c>
      <c r="E506" t="s">
        <v>518</v>
      </c>
      <c r="F506" t="s">
        <v>368</v>
      </c>
      <c r="G506" s="1">
        <v>41111</v>
      </c>
      <c r="I506" t="s">
        <v>199</v>
      </c>
      <c r="J506" t="s">
        <v>200</v>
      </c>
      <c r="K506" t="s">
        <v>201</v>
      </c>
      <c r="R506" t="str">
        <f>"КАЗАХСТАН, АКМОЛИНСКАЯ, СТЕПНОГОРСК, 37, 26"</f>
        <v>КАЗАХСТАН, АКМОЛИНСКАЯ, СТЕПНОГОРСК, 37, 26</v>
      </c>
      <c r="S506" t="str">
        <f>"ҚАЗАҚСТАН, АҚМОЛА, СТЕПНОГОР, 37, 26"</f>
        <v>ҚАЗАҚСТАН, АҚМОЛА, СТЕПНОГОР, 37, 26</v>
      </c>
      <c r="T506" t="str">
        <f>"37, 26"</f>
        <v>37, 26</v>
      </c>
      <c r="U506" t="str">
        <f>"37, 26"</f>
        <v>37, 26</v>
      </c>
      <c r="AC506" t="str">
        <f>"2018-08-29T00:00:00"</f>
        <v>2018-08-29T00:00:00</v>
      </c>
      <c r="AD506" t="str">
        <f>"140"</f>
        <v>140</v>
      </c>
      <c r="AG506" t="s">
        <v>202</v>
      </c>
      <c r="AI506" t="s">
        <v>274</v>
      </c>
      <c r="AJ506" t="s">
        <v>348</v>
      </c>
      <c r="AK506" t="s">
        <v>205</v>
      </c>
      <c r="AL506" t="s">
        <v>206</v>
      </c>
      <c r="AN506" t="s">
        <v>207</v>
      </c>
      <c r="AO506">
        <v>1</v>
      </c>
      <c r="AP506" t="s">
        <v>208</v>
      </c>
      <c r="AQ506" t="s">
        <v>209</v>
      </c>
      <c r="AR506" t="s">
        <v>307</v>
      </c>
      <c r="AW506" t="s">
        <v>206</v>
      </c>
      <c r="AX506" t="s">
        <v>211</v>
      </c>
      <c r="AZ506" t="s">
        <v>209</v>
      </c>
      <c r="BI506" t="s">
        <v>212</v>
      </c>
      <c r="BJ506" t="s">
        <v>213</v>
      </c>
      <c r="BK506" t="s">
        <v>214</v>
      </c>
      <c r="BL506" t="s">
        <v>215</v>
      </c>
      <c r="BN506" t="s">
        <v>216</v>
      </c>
      <c r="BO506" t="s">
        <v>209</v>
      </c>
      <c r="BP506" t="s">
        <v>241</v>
      </c>
      <c r="BQ506">
        <v>4</v>
      </c>
      <c r="BS506" t="s">
        <v>219</v>
      </c>
      <c r="BT506" t="s">
        <v>220</v>
      </c>
      <c r="BU506" t="s">
        <v>206</v>
      </c>
      <c r="BX506" t="s">
        <v>221</v>
      </c>
      <c r="BY506" t="s">
        <v>221</v>
      </c>
      <c r="CA506" t="s">
        <v>222</v>
      </c>
      <c r="CB506" t="s">
        <v>223</v>
      </c>
      <c r="CC506" t="s">
        <v>222</v>
      </c>
      <c r="CD506" t="s">
        <v>223</v>
      </c>
      <c r="CE506" t="s">
        <v>242</v>
      </c>
      <c r="CJ506" t="s">
        <v>206</v>
      </c>
      <c r="CK506" t="s">
        <v>230</v>
      </c>
      <c r="CL506" t="s">
        <v>231</v>
      </c>
      <c r="CM506" t="s">
        <v>232</v>
      </c>
      <c r="CN506" t="s">
        <v>233</v>
      </c>
      <c r="CP506" t="s">
        <v>212</v>
      </c>
      <c r="CQ506" t="s">
        <v>212</v>
      </c>
      <c r="CR506" t="s">
        <v>212</v>
      </c>
      <c r="CS506" t="s">
        <v>212</v>
      </c>
      <c r="CY506" t="s">
        <v>212</v>
      </c>
      <c r="DB506" t="s">
        <v>234</v>
      </c>
      <c r="DE506" t="s">
        <v>212</v>
      </c>
      <c r="DF506" t="s">
        <v>212</v>
      </c>
      <c r="DG506" t="s">
        <v>235</v>
      </c>
      <c r="DH506" t="s">
        <v>212</v>
      </c>
      <c r="DJ506" t="s">
        <v>236</v>
      </c>
      <c r="DM506" t="s">
        <v>212</v>
      </c>
    </row>
    <row r="507" spans="1:117" x14ac:dyDescent="0.3">
      <c r="A507">
        <v>352938</v>
      </c>
      <c r="B507">
        <v>318692</v>
      </c>
      <c r="C507" t="str">
        <f>"110623502366"</f>
        <v>110623502366</v>
      </c>
      <c r="D507" t="s">
        <v>462</v>
      </c>
      <c r="E507" t="s">
        <v>1513</v>
      </c>
      <c r="F507" t="s">
        <v>1343</v>
      </c>
      <c r="G507" s="1">
        <v>40717</v>
      </c>
      <c r="I507" t="s">
        <v>240</v>
      </c>
      <c r="J507" t="s">
        <v>200</v>
      </c>
      <c r="K507" t="s">
        <v>201</v>
      </c>
      <c r="R507" t="str">
        <f>"КАЗАХСТАН, АКМОЛИНСКАЯ, СТЕПНОГОРСК, -, 86, 87"</f>
        <v>КАЗАХСТАН, АКМОЛИНСКАЯ, СТЕПНОГОРСК, -, 86, 87</v>
      </c>
      <c r="S507" t="str">
        <f>"ҚАЗАҚСТАН, АҚМОЛА, СТЕПНОГОР, -, 86, 87"</f>
        <v>ҚАЗАҚСТАН, АҚМОЛА, СТЕПНОГОР, -, 86, 87</v>
      </c>
      <c r="T507" t="str">
        <f>"-, 86, 87"</f>
        <v>-, 86, 87</v>
      </c>
      <c r="U507" t="str">
        <f>"-, 86, 87"</f>
        <v>-, 86, 87</v>
      </c>
      <c r="AC507" t="str">
        <f>"2017-08-29T00:00:00"</f>
        <v>2017-08-29T00:00:00</v>
      </c>
      <c r="AD507" t="str">
        <f>"112"</f>
        <v>112</v>
      </c>
      <c r="AE507" t="str">
        <f>"2023-09-01T17:27:29"</f>
        <v>2023-09-01T17:27:29</v>
      </c>
      <c r="AF507" t="str">
        <f>"2024-05-25T17:27:29"</f>
        <v>2024-05-25T17:27:29</v>
      </c>
      <c r="AG507" t="s">
        <v>202</v>
      </c>
      <c r="AI507" t="s">
        <v>274</v>
      </c>
      <c r="AJ507" t="s">
        <v>300</v>
      </c>
      <c r="AK507" t="s">
        <v>253</v>
      </c>
      <c r="AL507" t="s">
        <v>206</v>
      </c>
      <c r="AN507" t="s">
        <v>254</v>
      </c>
      <c r="AO507">
        <v>1</v>
      </c>
      <c r="AP507" t="s">
        <v>208</v>
      </c>
      <c r="AQ507" t="s">
        <v>209</v>
      </c>
      <c r="AR507" t="s">
        <v>210</v>
      </c>
      <c r="AW507" t="s">
        <v>206</v>
      </c>
      <c r="AX507" t="s">
        <v>211</v>
      </c>
      <c r="AZ507" t="s">
        <v>209</v>
      </c>
      <c r="BI507" t="s">
        <v>212</v>
      </c>
      <c r="BJ507" t="s">
        <v>213</v>
      </c>
      <c r="BK507" t="s">
        <v>214</v>
      </c>
      <c r="BL507" t="s">
        <v>215</v>
      </c>
      <c r="BN507" t="s">
        <v>216</v>
      </c>
      <c r="BO507" t="s">
        <v>209</v>
      </c>
      <c r="BP507" t="s">
        <v>241</v>
      </c>
      <c r="BQ507">
        <v>5</v>
      </c>
      <c r="BS507" t="s">
        <v>219</v>
      </c>
      <c r="BT507" t="s">
        <v>220</v>
      </c>
      <c r="BU507" t="s">
        <v>206</v>
      </c>
      <c r="BX507" t="s">
        <v>221</v>
      </c>
      <c r="BY507" t="s">
        <v>221</v>
      </c>
      <c r="CA507" t="s">
        <v>222</v>
      </c>
      <c r="CB507" t="s">
        <v>223</v>
      </c>
      <c r="CC507" t="s">
        <v>222</v>
      </c>
      <c r="CD507" t="s">
        <v>223</v>
      </c>
      <c r="CE507" t="s">
        <v>242</v>
      </c>
      <c r="CJ507" t="s">
        <v>206</v>
      </c>
      <c r="CK507" t="s">
        <v>230</v>
      </c>
      <c r="CL507" t="s">
        <v>231</v>
      </c>
      <c r="CM507" t="s">
        <v>584</v>
      </c>
      <c r="CN507" t="s">
        <v>233</v>
      </c>
      <c r="CP507" t="s">
        <v>212</v>
      </c>
      <c r="CQ507" t="s">
        <v>212</v>
      </c>
      <c r="CR507" t="s">
        <v>212</v>
      </c>
      <c r="CS507" t="s">
        <v>212</v>
      </c>
      <c r="CY507" t="s">
        <v>212</v>
      </c>
      <c r="DB507" t="s">
        <v>234</v>
      </c>
      <c r="DE507" t="s">
        <v>212</v>
      </c>
      <c r="DF507" t="s">
        <v>212</v>
      </c>
      <c r="DG507" t="s">
        <v>235</v>
      </c>
      <c r="DH507" t="s">
        <v>212</v>
      </c>
      <c r="DJ507" t="s">
        <v>421</v>
      </c>
      <c r="DK507" t="s">
        <v>422</v>
      </c>
      <c r="DL507" t="s">
        <v>423</v>
      </c>
      <c r="DM507" t="s">
        <v>206</v>
      </c>
    </row>
    <row r="508" spans="1:117" x14ac:dyDescent="0.3">
      <c r="A508">
        <v>352909</v>
      </c>
      <c r="B508">
        <v>318670</v>
      </c>
      <c r="C508" t="str">
        <f>"081010651411"</f>
        <v>081010651411</v>
      </c>
      <c r="D508" t="s">
        <v>1514</v>
      </c>
      <c r="E508" t="s">
        <v>789</v>
      </c>
      <c r="F508" t="s">
        <v>574</v>
      </c>
      <c r="G508" s="1">
        <v>39731</v>
      </c>
      <c r="I508" t="s">
        <v>199</v>
      </c>
      <c r="J508" t="s">
        <v>200</v>
      </c>
      <c r="K508" t="s">
        <v>260</v>
      </c>
      <c r="R508" t="str">
        <f>"АНДОРРА, АКМОЛИНСКАЯ, СТЕПНОГОРСК, 46, 40"</f>
        <v>АНДОРРА, АКМОЛИНСКАЯ, СТЕПНОГОРСК, 46, 40</v>
      </c>
      <c r="S508" t="str">
        <f>"АНДОРРА, АҚМОЛА, СТЕПНОГОР, 46, 40"</f>
        <v>АНДОРРА, АҚМОЛА, СТЕПНОГОР, 46, 40</v>
      </c>
      <c r="T508" t="str">
        <f>"46, 40"</f>
        <v>46, 40</v>
      </c>
      <c r="U508" t="str">
        <f>"46, 40"</f>
        <v>46, 40</v>
      </c>
      <c r="AC508" t="str">
        <f>"2016-09-01T00:00:00"</f>
        <v>2016-09-01T00:00:00</v>
      </c>
      <c r="AD508" t="str">
        <f>"1"</f>
        <v>1</v>
      </c>
      <c r="AG508" t="s">
        <v>646</v>
      </c>
      <c r="AH508" t="str">
        <f>"ckool007@mail.ru"</f>
        <v>ckool007@mail.ru</v>
      </c>
      <c r="AI508" t="s">
        <v>274</v>
      </c>
      <c r="AJ508" t="s">
        <v>204</v>
      </c>
      <c r="AK508" t="s">
        <v>246</v>
      </c>
      <c r="AL508" t="s">
        <v>206</v>
      </c>
      <c r="AN508" t="s">
        <v>207</v>
      </c>
      <c r="AO508">
        <v>1</v>
      </c>
      <c r="AP508" t="s">
        <v>208</v>
      </c>
      <c r="AQ508" t="s">
        <v>209</v>
      </c>
      <c r="AR508" t="s">
        <v>210</v>
      </c>
      <c r="AW508" t="s">
        <v>206</v>
      </c>
      <c r="AX508" t="s">
        <v>211</v>
      </c>
      <c r="AZ508" t="s">
        <v>209</v>
      </c>
      <c r="BI508" t="s">
        <v>212</v>
      </c>
      <c r="BJ508" t="s">
        <v>213</v>
      </c>
      <c r="BK508" t="s">
        <v>214</v>
      </c>
      <c r="BL508" t="s">
        <v>215</v>
      </c>
      <c r="BN508" t="s">
        <v>216</v>
      </c>
      <c r="BO508" t="s">
        <v>209</v>
      </c>
      <c r="BP508" t="s">
        <v>241</v>
      </c>
      <c r="BQ508">
        <v>4</v>
      </c>
      <c r="BS508" t="s">
        <v>219</v>
      </c>
      <c r="BT508" t="s">
        <v>220</v>
      </c>
      <c r="BU508" t="s">
        <v>206</v>
      </c>
      <c r="BX508" t="s">
        <v>221</v>
      </c>
      <c r="BY508" t="s">
        <v>221</v>
      </c>
      <c r="CA508" t="s">
        <v>263</v>
      </c>
      <c r="CB508" t="s">
        <v>223</v>
      </c>
      <c r="CC508" t="s">
        <v>209</v>
      </c>
      <c r="CE508" t="s">
        <v>242</v>
      </c>
      <c r="CJ508" t="s">
        <v>206</v>
      </c>
      <c r="CK508" t="s">
        <v>230</v>
      </c>
      <c r="CL508" t="s">
        <v>231</v>
      </c>
      <c r="CM508" t="s">
        <v>232</v>
      </c>
      <c r="CN508" t="s">
        <v>233</v>
      </c>
      <c r="CP508" t="s">
        <v>212</v>
      </c>
      <c r="CQ508" t="s">
        <v>212</v>
      </c>
      <c r="CR508" t="s">
        <v>212</v>
      </c>
      <c r="CS508" t="s">
        <v>212</v>
      </c>
      <c r="CY508" t="s">
        <v>212</v>
      </c>
      <c r="DB508" t="s">
        <v>234</v>
      </c>
      <c r="DE508" t="s">
        <v>212</v>
      </c>
      <c r="DF508" t="s">
        <v>212</v>
      </c>
      <c r="DG508" t="s">
        <v>235</v>
      </c>
      <c r="DH508" t="s">
        <v>212</v>
      </c>
      <c r="DJ508" t="s">
        <v>236</v>
      </c>
      <c r="DM508" t="s">
        <v>212</v>
      </c>
    </row>
    <row r="509" spans="1:117" x14ac:dyDescent="0.3">
      <c r="A509">
        <v>352856</v>
      </c>
      <c r="B509">
        <v>318616</v>
      </c>
      <c r="C509" t="str">
        <f>"110122602686"</f>
        <v>110122602686</v>
      </c>
      <c r="D509" t="s">
        <v>1515</v>
      </c>
      <c r="E509" t="s">
        <v>1121</v>
      </c>
      <c r="F509" t="s">
        <v>1418</v>
      </c>
      <c r="G509" s="1">
        <v>40565</v>
      </c>
      <c r="I509" t="s">
        <v>199</v>
      </c>
      <c r="J509" t="s">
        <v>200</v>
      </c>
      <c r="K509" t="s">
        <v>201</v>
      </c>
      <c r="Q509" t="s">
        <v>212</v>
      </c>
      <c r="R509" t="str">
        <f>"КАЗАХСТАН, АКМОЛИНСКАЯ, СТЕПНОГОРСК, 14, 60"</f>
        <v>КАЗАХСТАН, АКМОЛИНСКАЯ, СТЕПНОГОРСК, 14, 60</v>
      </c>
      <c r="S509" t="str">
        <f>"ҚАЗАҚСТАН, АҚМОЛА, СТЕПНОГОР, 14, 60"</f>
        <v>ҚАЗАҚСТАН, АҚМОЛА, СТЕПНОГОР, 14, 60</v>
      </c>
      <c r="T509" t="str">
        <f>"14, 60"</f>
        <v>14, 60</v>
      </c>
      <c r="U509" t="str">
        <f>"14, 60"</f>
        <v>14, 60</v>
      </c>
      <c r="AC509" t="str">
        <f>"2017-08-29T00:00:00"</f>
        <v>2017-08-29T00:00:00</v>
      </c>
      <c r="AD509" t="str">
        <f>"112"</f>
        <v>112</v>
      </c>
      <c r="AG509" t="s">
        <v>202</v>
      </c>
      <c r="AI509" t="s">
        <v>274</v>
      </c>
      <c r="AJ509" t="s">
        <v>300</v>
      </c>
      <c r="AK509" t="s">
        <v>261</v>
      </c>
      <c r="AL509" t="s">
        <v>206</v>
      </c>
      <c r="AN509" t="s">
        <v>207</v>
      </c>
      <c r="AO509">
        <v>1</v>
      </c>
      <c r="AP509" t="s">
        <v>208</v>
      </c>
      <c r="AQ509" t="s">
        <v>209</v>
      </c>
      <c r="AR509" t="s">
        <v>210</v>
      </c>
      <c r="AW509" t="s">
        <v>206</v>
      </c>
      <c r="AX509" t="s">
        <v>211</v>
      </c>
      <c r="AZ509" t="s">
        <v>209</v>
      </c>
      <c r="BI509" t="s">
        <v>212</v>
      </c>
      <c r="BJ509" t="s">
        <v>213</v>
      </c>
      <c r="BK509" t="s">
        <v>214</v>
      </c>
      <c r="BL509" t="s">
        <v>357</v>
      </c>
      <c r="BN509" t="s">
        <v>216</v>
      </c>
      <c r="BO509" t="s">
        <v>209</v>
      </c>
      <c r="BP509" t="s">
        <v>241</v>
      </c>
      <c r="BQ509">
        <v>4</v>
      </c>
      <c r="BS509" t="s">
        <v>219</v>
      </c>
      <c r="BT509" t="s">
        <v>220</v>
      </c>
      <c r="BU509" t="s">
        <v>206</v>
      </c>
      <c r="BX509" t="s">
        <v>221</v>
      </c>
      <c r="BY509" t="s">
        <v>221</v>
      </c>
      <c r="CA509" t="s">
        <v>222</v>
      </c>
      <c r="CB509" t="s">
        <v>223</v>
      </c>
      <c r="CC509" t="s">
        <v>263</v>
      </c>
      <c r="CD509" t="s">
        <v>223</v>
      </c>
      <c r="CE509" t="s">
        <v>242</v>
      </c>
      <c r="CJ509" t="s">
        <v>206</v>
      </c>
      <c r="CK509" t="s">
        <v>230</v>
      </c>
      <c r="CL509" t="s">
        <v>231</v>
      </c>
      <c r="CM509" t="s">
        <v>232</v>
      </c>
      <c r="CN509" t="s">
        <v>233</v>
      </c>
      <c r="CP509" t="s">
        <v>212</v>
      </c>
      <c r="CQ509" t="s">
        <v>212</v>
      </c>
      <c r="CR509" t="s">
        <v>212</v>
      </c>
      <c r="CS509" t="s">
        <v>212</v>
      </c>
      <c r="CY509" t="s">
        <v>212</v>
      </c>
      <c r="DB509" t="s">
        <v>234</v>
      </c>
      <c r="DE509" t="s">
        <v>212</v>
      </c>
      <c r="DF509" t="s">
        <v>212</v>
      </c>
      <c r="DG509" t="s">
        <v>235</v>
      </c>
      <c r="DH509" t="s">
        <v>212</v>
      </c>
      <c r="DJ509" t="s">
        <v>236</v>
      </c>
      <c r="DM509" t="s">
        <v>212</v>
      </c>
    </row>
    <row r="510" spans="1:117" x14ac:dyDescent="0.3">
      <c r="A510">
        <v>352833</v>
      </c>
      <c r="B510">
        <v>318600</v>
      </c>
      <c r="C510" t="str">
        <f>"110526500898"</f>
        <v>110526500898</v>
      </c>
      <c r="D510" t="s">
        <v>1516</v>
      </c>
      <c r="E510" t="s">
        <v>828</v>
      </c>
      <c r="F510" t="s">
        <v>558</v>
      </c>
      <c r="G510" s="1">
        <v>40689</v>
      </c>
      <c r="I510" t="s">
        <v>240</v>
      </c>
      <c r="J510" t="s">
        <v>200</v>
      </c>
      <c r="K510" t="s">
        <v>260</v>
      </c>
      <c r="R510" t="str">
        <f>"АНДОРРА, АКМОЛИНСКАЯ, СТЕПНОГОРСК, 15, 117"</f>
        <v>АНДОРРА, АКМОЛИНСКАЯ, СТЕПНОГОРСК, 15, 117</v>
      </c>
      <c r="S510" t="str">
        <f>"АНДОРРА, АҚМОЛА, СТЕПНОГОР, 15, 117"</f>
        <v>АНДОРРА, АҚМОЛА, СТЕПНОГОР, 15, 117</v>
      </c>
      <c r="T510" t="str">
        <f>"15, 117"</f>
        <v>15, 117</v>
      </c>
      <c r="U510" t="str">
        <f>"15, 117"</f>
        <v>15, 117</v>
      </c>
      <c r="AC510" t="str">
        <f>"2017-08-29T00:00:00"</f>
        <v>2017-08-29T00:00:00</v>
      </c>
      <c r="AD510" t="str">
        <f>"112"</f>
        <v>112</v>
      </c>
      <c r="AG510" t="s">
        <v>202</v>
      </c>
      <c r="AI510" t="s">
        <v>274</v>
      </c>
      <c r="AJ510" t="s">
        <v>300</v>
      </c>
      <c r="AK510" t="s">
        <v>261</v>
      </c>
      <c r="AL510" t="s">
        <v>206</v>
      </c>
      <c r="AN510" t="s">
        <v>207</v>
      </c>
      <c r="AO510">
        <v>1</v>
      </c>
      <c r="AP510" t="s">
        <v>208</v>
      </c>
      <c r="AQ510" t="s">
        <v>209</v>
      </c>
      <c r="AR510" t="s">
        <v>210</v>
      </c>
      <c r="AW510" t="s">
        <v>206</v>
      </c>
      <c r="AX510" t="s">
        <v>211</v>
      </c>
      <c r="AZ510" t="s">
        <v>209</v>
      </c>
      <c r="BI510" t="s">
        <v>212</v>
      </c>
      <c r="BJ510" t="s">
        <v>213</v>
      </c>
      <c r="BK510" t="s">
        <v>214</v>
      </c>
      <c r="BL510" t="s">
        <v>215</v>
      </c>
      <c r="BN510" t="s">
        <v>247</v>
      </c>
      <c r="BO510" t="s">
        <v>209</v>
      </c>
      <c r="BP510" t="s">
        <v>241</v>
      </c>
      <c r="BQ510">
        <v>3</v>
      </c>
      <c r="BS510" t="s">
        <v>219</v>
      </c>
      <c r="BT510" t="s">
        <v>220</v>
      </c>
      <c r="BU510" t="s">
        <v>206</v>
      </c>
      <c r="BX510" t="s">
        <v>221</v>
      </c>
      <c r="BY510" t="s">
        <v>221</v>
      </c>
      <c r="CA510" t="s">
        <v>222</v>
      </c>
      <c r="CB510" t="s">
        <v>223</v>
      </c>
      <c r="CC510" t="s">
        <v>404</v>
      </c>
      <c r="CD510" t="s">
        <v>223</v>
      </c>
      <c r="CE510" t="s">
        <v>242</v>
      </c>
      <c r="CJ510" t="s">
        <v>206</v>
      </c>
      <c r="CK510" t="s">
        <v>230</v>
      </c>
      <c r="CL510" t="s">
        <v>231</v>
      </c>
      <c r="CM510" t="s">
        <v>232</v>
      </c>
      <c r="CN510" t="s">
        <v>233</v>
      </c>
      <c r="CP510" t="s">
        <v>212</v>
      </c>
      <c r="CQ510" t="s">
        <v>212</v>
      </c>
      <c r="CR510" t="s">
        <v>212</v>
      </c>
      <c r="CS510" t="s">
        <v>212</v>
      </c>
      <c r="CY510" t="s">
        <v>212</v>
      </c>
      <c r="DB510" t="s">
        <v>234</v>
      </c>
      <c r="DE510" t="s">
        <v>212</v>
      </c>
      <c r="DF510" t="s">
        <v>212</v>
      </c>
      <c r="DG510" t="s">
        <v>235</v>
      </c>
      <c r="DH510" t="s">
        <v>212</v>
      </c>
      <c r="DJ510" t="s">
        <v>236</v>
      </c>
      <c r="DM510" t="s">
        <v>212</v>
      </c>
    </row>
    <row r="511" spans="1:117" x14ac:dyDescent="0.3">
      <c r="A511">
        <v>352777</v>
      </c>
      <c r="B511">
        <v>318552</v>
      </c>
      <c r="C511" t="str">
        <f>"120417600159"</f>
        <v>120417600159</v>
      </c>
      <c r="D511" t="s">
        <v>792</v>
      </c>
      <c r="E511" t="s">
        <v>372</v>
      </c>
      <c r="F511" t="s">
        <v>1147</v>
      </c>
      <c r="G511" s="1">
        <v>41016</v>
      </c>
      <c r="I511" t="s">
        <v>199</v>
      </c>
      <c r="J511" t="s">
        <v>200</v>
      </c>
      <c r="K511" t="s">
        <v>260</v>
      </c>
      <c r="R511" t="str">
        <f>"КАЗАХСТАН, АКМОЛИНСКАЯ, СТЕПНОГОРСК, 23, 73"</f>
        <v>КАЗАХСТАН, АКМОЛИНСКАЯ, СТЕПНОГОРСК, 23, 73</v>
      </c>
      <c r="S511" t="str">
        <f>"ҚАЗАҚСТАН, АҚМОЛА, СТЕПНОГОР, 23, 73"</f>
        <v>ҚАЗАҚСТАН, АҚМОЛА, СТЕПНОГОР, 23, 73</v>
      </c>
      <c r="T511" t="str">
        <f>"23, 73"</f>
        <v>23, 73</v>
      </c>
      <c r="U511" t="str">
        <f>"23, 73"</f>
        <v>23, 73</v>
      </c>
      <c r="AC511" t="str">
        <f>"2018-08-29T00:00:00"</f>
        <v>2018-08-29T00:00:00</v>
      </c>
      <c r="AD511" t="str">
        <f>"140"</f>
        <v>140</v>
      </c>
      <c r="AE511" t="str">
        <f>"2023-09-01T17:25:01"</f>
        <v>2023-09-01T17:25:01</v>
      </c>
      <c r="AF511" t="str">
        <f>"2024-05-25T17:25:01"</f>
        <v>2024-05-25T17:25:01</v>
      </c>
      <c r="AG511" t="s">
        <v>202</v>
      </c>
      <c r="AI511" t="s">
        <v>274</v>
      </c>
      <c r="AJ511" t="s">
        <v>348</v>
      </c>
      <c r="AK511" t="s">
        <v>205</v>
      </c>
      <c r="AL511" t="s">
        <v>206</v>
      </c>
      <c r="AN511" t="s">
        <v>207</v>
      </c>
      <c r="AO511">
        <v>1</v>
      </c>
      <c r="AP511" t="s">
        <v>208</v>
      </c>
      <c r="AQ511" t="s">
        <v>209</v>
      </c>
      <c r="AR511" t="s">
        <v>307</v>
      </c>
      <c r="AW511" t="s">
        <v>206</v>
      </c>
      <c r="AX511" t="s">
        <v>211</v>
      </c>
      <c r="AZ511" t="s">
        <v>209</v>
      </c>
      <c r="BI511" t="s">
        <v>212</v>
      </c>
      <c r="BJ511" t="s">
        <v>213</v>
      </c>
      <c r="BK511" t="s">
        <v>214</v>
      </c>
      <c r="BL511" t="s">
        <v>215</v>
      </c>
      <c r="BN511" t="s">
        <v>216</v>
      </c>
      <c r="BO511" t="s">
        <v>209</v>
      </c>
      <c r="BP511" t="s">
        <v>241</v>
      </c>
      <c r="BQ511">
        <v>4</v>
      </c>
      <c r="BS511" t="s">
        <v>219</v>
      </c>
      <c r="BT511" t="s">
        <v>220</v>
      </c>
      <c r="BU511" t="s">
        <v>206</v>
      </c>
      <c r="BX511" t="s">
        <v>221</v>
      </c>
      <c r="BY511" t="s">
        <v>221</v>
      </c>
      <c r="CA511" t="s">
        <v>222</v>
      </c>
      <c r="CB511" t="s">
        <v>223</v>
      </c>
      <c r="CC511" t="s">
        <v>638</v>
      </c>
      <c r="CD511" t="s">
        <v>349</v>
      </c>
      <c r="CE511" t="s">
        <v>342</v>
      </c>
      <c r="CF511" t="s">
        <v>226</v>
      </c>
      <c r="CG511" t="s">
        <v>227</v>
      </c>
      <c r="CH511" t="s">
        <v>228</v>
      </c>
      <c r="CI511" t="s">
        <v>1517</v>
      </c>
      <c r="CJ511" t="s">
        <v>206</v>
      </c>
      <c r="CK511" t="s">
        <v>230</v>
      </c>
      <c r="CL511" t="s">
        <v>231</v>
      </c>
      <c r="CM511" t="s">
        <v>232</v>
      </c>
      <c r="CN511" t="s">
        <v>233</v>
      </c>
      <c r="CP511" t="s">
        <v>212</v>
      </c>
      <c r="CQ511" t="s">
        <v>212</v>
      </c>
      <c r="CR511" t="s">
        <v>212</v>
      </c>
      <c r="CS511" t="s">
        <v>212</v>
      </c>
      <c r="CY511" t="s">
        <v>212</v>
      </c>
      <c r="DB511" t="s">
        <v>234</v>
      </c>
      <c r="DE511" t="s">
        <v>212</v>
      </c>
      <c r="DF511" t="s">
        <v>212</v>
      </c>
      <c r="DG511" t="s">
        <v>235</v>
      </c>
      <c r="DH511" t="s">
        <v>212</v>
      </c>
      <c r="DJ511" t="s">
        <v>236</v>
      </c>
      <c r="DM511" t="s">
        <v>212</v>
      </c>
    </row>
    <row r="512" spans="1:117" x14ac:dyDescent="0.3">
      <c r="A512">
        <v>352695</v>
      </c>
      <c r="B512">
        <v>318475</v>
      </c>
      <c r="C512" t="str">
        <f>"080419652956"</f>
        <v>080419652956</v>
      </c>
      <c r="D512" t="s">
        <v>1012</v>
      </c>
      <c r="E512" t="s">
        <v>1425</v>
      </c>
      <c r="F512" t="s">
        <v>1518</v>
      </c>
      <c r="G512" s="1">
        <v>39557</v>
      </c>
      <c r="I512" t="s">
        <v>199</v>
      </c>
      <c r="J512" t="s">
        <v>200</v>
      </c>
      <c r="K512" t="s">
        <v>201</v>
      </c>
      <c r="Q512" t="s">
        <v>212</v>
      </c>
      <c r="R512" t="str">
        <f>"АНДОРРА, АКМОЛИНСКАЯ, СТЕПНОГОРСК, 30, 159"</f>
        <v>АНДОРРА, АКМОЛИНСКАЯ, СТЕПНОГОРСК, 30, 159</v>
      </c>
      <c r="S512" t="str">
        <f>"АНДОРРА, АҚМОЛА, СТЕПНОГОР, 30, 159"</f>
        <v>АНДОРРА, АҚМОЛА, СТЕПНОГОР, 30, 159</v>
      </c>
      <c r="T512" t="str">
        <f>"30, 159"</f>
        <v>30, 159</v>
      </c>
      <c r="U512" t="str">
        <f>"30, 159"</f>
        <v>30, 159</v>
      </c>
      <c r="AC512" t="str">
        <f t="shared" ref="AC512:AC517" si="15">"2015-09-01T00:00:00"</f>
        <v>2015-09-01T00:00:00</v>
      </c>
      <c r="AD512" t="str">
        <f t="shared" ref="AD512:AD519" si="16">"1"</f>
        <v>1</v>
      </c>
      <c r="AG512" t="s">
        <v>202</v>
      </c>
      <c r="AH512" t="str">
        <f>"ckool007@mail.ru"</f>
        <v>ckool007@mail.ru</v>
      </c>
      <c r="AI512" t="s">
        <v>203</v>
      </c>
      <c r="AJ512" t="s">
        <v>204</v>
      </c>
      <c r="AK512" t="s">
        <v>261</v>
      </c>
      <c r="AL512" t="s">
        <v>206</v>
      </c>
      <c r="AN512" t="s">
        <v>207</v>
      </c>
      <c r="AO512">
        <v>1</v>
      </c>
      <c r="AP512" t="s">
        <v>208</v>
      </c>
      <c r="AQ512" t="s">
        <v>209</v>
      </c>
      <c r="AR512" t="s">
        <v>262</v>
      </c>
      <c r="AW512" t="s">
        <v>206</v>
      </c>
      <c r="AX512" t="s">
        <v>211</v>
      </c>
      <c r="AZ512" t="s">
        <v>209</v>
      </c>
      <c r="BI512" t="s">
        <v>212</v>
      </c>
      <c r="BJ512" t="s">
        <v>213</v>
      </c>
      <c r="BK512" t="s">
        <v>214</v>
      </c>
      <c r="BL512" t="s">
        <v>215</v>
      </c>
      <c r="BN512" t="s">
        <v>247</v>
      </c>
      <c r="BO512" t="s">
        <v>209</v>
      </c>
      <c r="BP512" t="s">
        <v>217</v>
      </c>
      <c r="BQ512" t="s">
        <v>1238</v>
      </c>
      <c r="BS512" t="s">
        <v>219</v>
      </c>
      <c r="BT512" t="s">
        <v>220</v>
      </c>
      <c r="BU512" t="s">
        <v>206</v>
      </c>
      <c r="BX512" t="s">
        <v>221</v>
      </c>
      <c r="BY512" t="s">
        <v>221</v>
      </c>
      <c r="CA512" t="s">
        <v>249</v>
      </c>
      <c r="CB512" t="s">
        <v>223</v>
      </c>
      <c r="CC512" t="s">
        <v>209</v>
      </c>
      <c r="CE512" t="s">
        <v>225</v>
      </c>
      <c r="CF512" t="s">
        <v>226</v>
      </c>
      <c r="CG512" t="s">
        <v>227</v>
      </c>
      <c r="CH512" t="s">
        <v>209</v>
      </c>
      <c r="CI512" t="s">
        <v>1519</v>
      </c>
      <c r="CJ512" t="s">
        <v>206</v>
      </c>
      <c r="CK512" t="s">
        <v>230</v>
      </c>
      <c r="CL512" t="s">
        <v>231</v>
      </c>
      <c r="CM512" t="s">
        <v>232</v>
      </c>
      <c r="CN512" t="s">
        <v>233</v>
      </c>
      <c r="CP512" t="s">
        <v>212</v>
      </c>
      <c r="CQ512" t="s">
        <v>212</v>
      </c>
      <c r="CR512" t="s">
        <v>212</v>
      </c>
      <c r="CS512" t="s">
        <v>212</v>
      </c>
      <c r="CY512" t="s">
        <v>212</v>
      </c>
      <c r="DB512" t="s">
        <v>234</v>
      </c>
      <c r="DE512" t="s">
        <v>212</v>
      </c>
      <c r="DF512" t="s">
        <v>212</v>
      </c>
      <c r="DG512" t="s">
        <v>235</v>
      </c>
      <c r="DH512" t="s">
        <v>212</v>
      </c>
      <c r="DJ512" t="s">
        <v>236</v>
      </c>
      <c r="DM512" t="s">
        <v>212</v>
      </c>
    </row>
    <row r="513" spans="1:117" x14ac:dyDescent="0.3">
      <c r="A513">
        <v>352661</v>
      </c>
      <c r="B513">
        <v>318450</v>
      </c>
      <c r="C513" t="str">
        <f>"081213651673"</f>
        <v>081213651673</v>
      </c>
      <c r="D513" t="s">
        <v>1520</v>
      </c>
      <c r="E513" t="s">
        <v>1521</v>
      </c>
      <c r="F513" t="s">
        <v>406</v>
      </c>
      <c r="G513" s="1">
        <v>39795</v>
      </c>
      <c r="I513" t="s">
        <v>199</v>
      </c>
      <c r="J513" t="s">
        <v>200</v>
      </c>
      <c r="K513" t="s">
        <v>260</v>
      </c>
      <c r="R513" t="str">
        <f>"АНДОРРА, АКМОЛИНСКАЯ, СТЕПНОГОРСК, 34, 23"</f>
        <v>АНДОРРА, АКМОЛИНСКАЯ, СТЕПНОГОРСК, 34, 23</v>
      </c>
      <c r="S513" t="str">
        <f>"АНДОРРА, АҚМОЛА, СТЕПНОГОР, 34, 23"</f>
        <v>АНДОРРА, АҚМОЛА, СТЕПНОГОР, 34, 23</v>
      </c>
      <c r="T513" t="str">
        <f>"34, 23"</f>
        <v>34, 23</v>
      </c>
      <c r="U513" t="str">
        <f>"34, 23"</f>
        <v>34, 23</v>
      </c>
      <c r="AC513" t="str">
        <f t="shared" si="15"/>
        <v>2015-09-01T00:00:00</v>
      </c>
      <c r="AD513" t="str">
        <f t="shared" si="16"/>
        <v>1</v>
      </c>
      <c r="AG513" t="s">
        <v>202</v>
      </c>
      <c r="AH513" t="str">
        <f>"ckool007@mail.ru"</f>
        <v>ckool007@mail.ru</v>
      </c>
      <c r="AI513" t="s">
        <v>203</v>
      </c>
      <c r="AJ513" t="s">
        <v>204</v>
      </c>
      <c r="AK513" t="s">
        <v>261</v>
      </c>
      <c r="AL513" t="s">
        <v>206</v>
      </c>
      <c r="AN513" t="s">
        <v>207</v>
      </c>
      <c r="AO513">
        <v>1</v>
      </c>
      <c r="AP513" t="s">
        <v>208</v>
      </c>
      <c r="AQ513" t="s">
        <v>209</v>
      </c>
      <c r="AR513" t="s">
        <v>210</v>
      </c>
      <c r="AW513" t="s">
        <v>206</v>
      </c>
      <c r="AX513" t="s">
        <v>211</v>
      </c>
      <c r="AZ513" t="s">
        <v>209</v>
      </c>
      <c r="BI513" t="s">
        <v>212</v>
      </c>
      <c r="BJ513" t="s">
        <v>213</v>
      </c>
      <c r="BK513" t="s">
        <v>214</v>
      </c>
      <c r="BL513" t="s">
        <v>215</v>
      </c>
      <c r="BN513" t="s">
        <v>247</v>
      </c>
      <c r="BO513" t="s">
        <v>209</v>
      </c>
      <c r="BP513" t="s">
        <v>217</v>
      </c>
      <c r="BQ513" t="s">
        <v>599</v>
      </c>
      <c r="BS513" t="s">
        <v>219</v>
      </c>
      <c r="BT513" t="s">
        <v>220</v>
      </c>
      <c r="BU513" t="s">
        <v>206</v>
      </c>
      <c r="BX513" t="s">
        <v>221</v>
      </c>
      <c r="BY513" t="s">
        <v>221</v>
      </c>
      <c r="CA513" t="s">
        <v>263</v>
      </c>
      <c r="CB513" t="s">
        <v>223</v>
      </c>
      <c r="CC513" t="s">
        <v>209</v>
      </c>
      <c r="CE513" t="s">
        <v>225</v>
      </c>
      <c r="CF513" t="s">
        <v>226</v>
      </c>
      <c r="CG513" t="s">
        <v>343</v>
      </c>
      <c r="CH513" t="s">
        <v>228</v>
      </c>
      <c r="CI513" t="s">
        <v>1522</v>
      </c>
      <c r="CJ513" t="s">
        <v>206</v>
      </c>
      <c r="CK513" t="s">
        <v>230</v>
      </c>
      <c r="CL513" t="s">
        <v>231</v>
      </c>
      <c r="CM513" t="s">
        <v>232</v>
      </c>
      <c r="CN513" t="s">
        <v>233</v>
      </c>
      <c r="CP513" t="s">
        <v>212</v>
      </c>
      <c r="CQ513" t="s">
        <v>212</v>
      </c>
      <c r="CR513" t="s">
        <v>212</v>
      </c>
      <c r="CS513" t="s">
        <v>212</v>
      </c>
      <c r="CY513" t="s">
        <v>212</v>
      </c>
      <c r="DB513" t="s">
        <v>234</v>
      </c>
      <c r="DE513" t="s">
        <v>212</v>
      </c>
      <c r="DF513" t="s">
        <v>212</v>
      </c>
      <c r="DG513" t="s">
        <v>235</v>
      </c>
      <c r="DH513" t="s">
        <v>212</v>
      </c>
      <c r="DJ513" t="s">
        <v>236</v>
      </c>
      <c r="DM513" t="s">
        <v>212</v>
      </c>
    </row>
    <row r="514" spans="1:117" x14ac:dyDescent="0.3">
      <c r="A514">
        <v>352632</v>
      </c>
      <c r="B514">
        <v>318424</v>
      </c>
      <c r="C514" t="str">
        <f>"080516655482"</f>
        <v>080516655482</v>
      </c>
      <c r="D514" t="s">
        <v>1523</v>
      </c>
      <c r="E514" t="s">
        <v>279</v>
      </c>
      <c r="F514" t="s">
        <v>1524</v>
      </c>
      <c r="G514" s="1">
        <v>39584</v>
      </c>
      <c r="I514" t="s">
        <v>199</v>
      </c>
      <c r="J514" t="s">
        <v>200</v>
      </c>
      <c r="K514" t="s">
        <v>260</v>
      </c>
      <c r="R514" t="str">
        <f>"АНДОРРА, АКМОЛИНСКАЯ, СТЕПНОГОРСК, 67, 58"</f>
        <v>АНДОРРА, АКМОЛИНСКАЯ, СТЕПНОГОРСК, 67, 58</v>
      </c>
      <c r="S514" t="str">
        <f>"АНДОРРА, АҚМОЛА, СТЕПНОГОР, 67, 58"</f>
        <v>АНДОРРА, АҚМОЛА, СТЕПНОГОР, 67, 58</v>
      </c>
      <c r="T514" t="str">
        <f>"67, 58"</f>
        <v>67, 58</v>
      </c>
      <c r="U514" t="str">
        <f>"67, 58"</f>
        <v>67, 58</v>
      </c>
      <c r="AC514" t="str">
        <f t="shared" si="15"/>
        <v>2015-09-01T00:00:00</v>
      </c>
      <c r="AD514" t="str">
        <f t="shared" si="16"/>
        <v>1</v>
      </c>
      <c r="AG514" t="s">
        <v>202</v>
      </c>
      <c r="AH514" t="str">
        <f>"ckool007@mail.ru"</f>
        <v>ckool007@mail.ru</v>
      </c>
      <c r="AI514" t="s">
        <v>203</v>
      </c>
      <c r="AJ514" t="s">
        <v>204</v>
      </c>
      <c r="AK514" t="s">
        <v>261</v>
      </c>
      <c r="AL514" t="s">
        <v>206</v>
      </c>
      <c r="AN514" t="s">
        <v>207</v>
      </c>
      <c r="AO514">
        <v>1</v>
      </c>
      <c r="AP514" t="s">
        <v>208</v>
      </c>
      <c r="AQ514" t="s">
        <v>209</v>
      </c>
      <c r="AR514" t="s">
        <v>210</v>
      </c>
      <c r="AW514" t="s">
        <v>206</v>
      </c>
      <c r="AX514" t="s">
        <v>211</v>
      </c>
      <c r="AZ514" t="s">
        <v>209</v>
      </c>
      <c r="BI514" t="s">
        <v>212</v>
      </c>
      <c r="BJ514" t="s">
        <v>213</v>
      </c>
      <c r="BK514" t="s">
        <v>214</v>
      </c>
      <c r="BL514" t="s">
        <v>215</v>
      </c>
      <c r="BN514" t="s">
        <v>247</v>
      </c>
      <c r="BO514" t="s">
        <v>209</v>
      </c>
      <c r="BP514" t="s">
        <v>241</v>
      </c>
      <c r="BQ514">
        <v>3</v>
      </c>
      <c r="BS514" t="s">
        <v>219</v>
      </c>
      <c r="BT514" t="s">
        <v>220</v>
      </c>
      <c r="BU514" t="s">
        <v>206</v>
      </c>
      <c r="BX514" t="s">
        <v>221</v>
      </c>
      <c r="BY514" t="s">
        <v>221</v>
      </c>
      <c r="CA514" t="s">
        <v>263</v>
      </c>
      <c r="CB514" t="s">
        <v>223</v>
      </c>
      <c r="CC514" t="s">
        <v>209</v>
      </c>
      <c r="CE514" t="s">
        <v>242</v>
      </c>
      <c r="CJ514" t="s">
        <v>206</v>
      </c>
      <c r="CK514" t="s">
        <v>230</v>
      </c>
      <c r="CL514" t="s">
        <v>231</v>
      </c>
      <c r="CM514" t="s">
        <v>232</v>
      </c>
      <c r="CN514" t="s">
        <v>233</v>
      </c>
      <c r="CP514" t="s">
        <v>212</v>
      </c>
      <c r="CQ514" t="s">
        <v>212</v>
      </c>
      <c r="CR514" t="s">
        <v>212</v>
      </c>
      <c r="CS514" t="s">
        <v>212</v>
      </c>
      <c r="CY514" t="s">
        <v>212</v>
      </c>
      <c r="DB514" t="s">
        <v>234</v>
      </c>
      <c r="DE514" t="s">
        <v>212</v>
      </c>
      <c r="DF514" t="s">
        <v>212</v>
      </c>
      <c r="DG514" t="s">
        <v>235</v>
      </c>
      <c r="DH514" t="s">
        <v>212</v>
      </c>
      <c r="DJ514" t="s">
        <v>236</v>
      </c>
      <c r="DM514" t="s">
        <v>212</v>
      </c>
    </row>
    <row r="515" spans="1:117" x14ac:dyDescent="0.3">
      <c r="A515">
        <v>352501</v>
      </c>
      <c r="B515">
        <v>318318</v>
      </c>
      <c r="C515" t="str">
        <f>"090329000056"</f>
        <v>090329000056</v>
      </c>
      <c r="D515" t="s">
        <v>1195</v>
      </c>
      <c r="E515" t="s">
        <v>1525</v>
      </c>
      <c r="F515" t="s">
        <v>1197</v>
      </c>
      <c r="G515" s="1">
        <v>39901</v>
      </c>
      <c r="I515" t="s">
        <v>240</v>
      </c>
      <c r="J515" t="s">
        <v>757</v>
      </c>
      <c r="K515" t="s">
        <v>201</v>
      </c>
      <c r="L515" t="s">
        <v>212</v>
      </c>
      <c r="Q515" t="s">
        <v>212</v>
      </c>
      <c r="R515" t="str">
        <f>"АНДОРРА, АКМОЛИНСКАЯ, СТЕПНОГОРСК, СТЕПНОГОРСК, 18, 411"</f>
        <v>АНДОРРА, АКМОЛИНСКАЯ, СТЕПНОГОРСК, СТЕПНОГОРСК, 18, 411</v>
      </c>
      <c r="S515" t="str">
        <f>"АНДОРРА, АҚМОЛА, СТЕПНОГОР, СТЕПНОГОРСК, 18, 411"</f>
        <v>АНДОРРА, АҚМОЛА, СТЕПНОГОР, СТЕПНОГОРСК, 18, 411</v>
      </c>
      <c r="T515" t="str">
        <f>"СТЕПНОГОРСК, 18, 411"</f>
        <v>СТЕПНОГОРСК, 18, 411</v>
      </c>
      <c r="U515" t="str">
        <f>"СТЕПНОГОРСК, 18, 411"</f>
        <v>СТЕПНОГОРСК, 18, 411</v>
      </c>
      <c r="AC515" t="str">
        <f t="shared" si="15"/>
        <v>2015-09-01T00:00:00</v>
      </c>
      <c r="AD515" t="str">
        <f t="shared" si="16"/>
        <v>1</v>
      </c>
      <c r="AG515" t="s">
        <v>202</v>
      </c>
      <c r="AH515" t="str">
        <f>"ckool007@mail.ru"</f>
        <v>ckool007@mail.ru</v>
      </c>
      <c r="AI515" t="s">
        <v>203</v>
      </c>
      <c r="AJ515" t="s">
        <v>204</v>
      </c>
      <c r="AK515" t="s">
        <v>205</v>
      </c>
      <c r="AL515" t="s">
        <v>206</v>
      </c>
      <c r="AN515" t="s">
        <v>207</v>
      </c>
      <c r="AO515">
        <v>1</v>
      </c>
      <c r="AP515" t="s">
        <v>208</v>
      </c>
      <c r="AQ515" t="s">
        <v>209</v>
      </c>
      <c r="AR515" t="s">
        <v>262</v>
      </c>
      <c r="AW515" t="s">
        <v>206</v>
      </c>
      <c r="AX515" t="s">
        <v>211</v>
      </c>
      <c r="AZ515" t="s">
        <v>209</v>
      </c>
      <c r="BI515" t="s">
        <v>212</v>
      </c>
      <c r="BJ515" t="s">
        <v>213</v>
      </c>
      <c r="BK515" t="s">
        <v>214</v>
      </c>
      <c r="BL515" t="s">
        <v>215</v>
      </c>
      <c r="BN515" t="s">
        <v>281</v>
      </c>
      <c r="BO515" t="s">
        <v>209</v>
      </c>
      <c r="BP515" t="s">
        <v>241</v>
      </c>
      <c r="BQ515">
        <v>5</v>
      </c>
      <c r="BS515" t="s">
        <v>219</v>
      </c>
      <c r="BT515" t="s">
        <v>220</v>
      </c>
      <c r="BU515" t="s">
        <v>206</v>
      </c>
      <c r="BX515" t="s">
        <v>221</v>
      </c>
      <c r="BY515" t="s">
        <v>221</v>
      </c>
      <c r="CA515" t="s">
        <v>222</v>
      </c>
      <c r="CB515" t="s">
        <v>223</v>
      </c>
      <c r="CC515" t="s">
        <v>353</v>
      </c>
      <c r="CD515" t="s">
        <v>223</v>
      </c>
      <c r="CE515" t="s">
        <v>242</v>
      </c>
      <c r="CJ515" t="s">
        <v>206</v>
      </c>
      <c r="CK515" t="s">
        <v>230</v>
      </c>
      <c r="CL515" t="s">
        <v>231</v>
      </c>
      <c r="CM515" t="s">
        <v>232</v>
      </c>
      <c r="CN515" t="s">
        <v>233</v>
      </c>
      <c r="CP515" t="s">
        <v>212</v>
      </c>
      <c r="CQ515" t="s">
        <v>212</v>
      </c>
      <c r="CR515" t="s">
        <v>212</v>
      </c>
      <c r="CS515" t="s">
        <v>212</v>
      </c>
      <c r="CY515" t="s">
        <v>212</v>
      </c>
      <c r="DB515" t="s">
        <v>234</v>
      </c>
      <c r="DE515" t="s">
        <v>212</v>
      </c>
      <c r="DF515" t="s">
        <v>212</v>
      </c>
      <c r="DG515" t="s">
        <v>235</v>
      </c>
      <c r="DH515" t="s">
        <v>212</v>
      </c>
      <c r="DJ515" t="s">
        <v>236</v>
      </c>
      <c r="DM515" t="s">
        <v>212</v>
      </c>
    </row>
    <row r="516" spans="1:117" x14ac:dyDescent="0.3">
      <c r="A516">
        <v>352452</v>
      </c>
      <c r="B516">
        <v>318272</v>
      </c>
      <c r="C516" t="str">
        <f>"090821554217"</f>
        <v>090821554217</v>
      </c>
      <c r="D516" t="s">
        <v>1526</v>
      </c>
      <c r="E516" t="s">
        <v>826</v>
      </c>
      <c r="F516" t="s">
        <v>676</v>
      </c>
      <c r="G516" s="1">
        <v>40046</v>
      </c>
      <c r="I516" t="s">
        <v>240</v>
      </c>
      <c r="J516" t="s">
        <v>200</v>
      </c>
      <c r="K516" t="s">
        <v>260</v>
      </c>
      <c r="R516" t="str">
        <f>"КАЗАХСТАН, АКМОЛИНСКАЯ, СТЕПНОГОРСК, 20, 70"</f>
        <v>КАЗАХСТАН, АКМОЛИНСКАЯ, СТЕПНОГОРСК, 20, 70</v>
      </c>
      <c r="S516" t="str">
        <f>"ҚАЗАҚСТАН, АҚМОЛА, СТЕПНОГОР, 20, 70"</f>
        <v>ҚАЗАҚСТАН, АҚМОЛА, СТЕПНОГОР, 20, 70</v>
      </c>
      <c r="T516" t="str">
        <f>"20, 70"</f>
        <v>20, 70</v>
      </c>
      <c r="U516" t="str">
        <f>"20, 70"</f>
        <v>20, 70</v>
      </c>
      <c r="AC516" t="str">
        <f t="shared" si="15"/>
        <v>2015-09-01T00:00:00</v>
      </c>
      <c r="AD516" t="str">
        <f t="shared" si="16"/>
        <v>1</v>
      </c>
      <c r="AG516" t="s">
        <v>202</v>
      </c>
      <c r="AI516" t="s">
        <v>203</v>
      </c>
      <c r="AJ516" t="s">
        <v>300</v>
      </c>
      <c r="AK516" t="s">
        <v>246</v>
      </c>
      <c r="AL516" t="s">
        <v>206</v>
      </c>
      <c r="AN516" t="s">
        <v>207</v>
      </c>
      <c r="AO516">
        <v>1</v>
      </c>
      <c r="AP516" t="s">
        <v>208</v>
      </c>
      <c r="AQ516" t="s">
        <v>209</v>
      </c>
      <c r="AR516" t="s">
        <v>210</v>
      </c>
      <c r="AW516" t="s">
        <v>206</v>
      </c>
      <c r="AX516" t="s">
        <v>211</v>
      </c>
      <c r="AZ516" t="s">
        <v>209</v>
      </c>
      <c r="BI516" t="s">
        <v>212</v>
      </c>
      <c r="BJ516" t="s">
        <v>213</v>
      </c>
      <c r="BK516" t="s">
        <v>214</v>
      </c>
      <c r="BL516" t="s">
        <v>215</v>
      </c>
      <c r="BN516" t="s">
        <v>247</v>
      </c>
      <c r="BO516" t="s">
        <v>209</v>
      </c>
      <c r="BP516" t="s">
        <v>241</v>
      </c>
      <c r="BQ516">
        <v>3</v>
      </c>
      <c r="BS516" t="s">
        <v>219</v>
      </c>
      <c r="BT516" t="s">
        <v>220</v>
      </c>
      <c r="BU516" t="s">
        <v>206</v>
      </c>
      <c r="BX516" t="s">
        <v>221</v>
      </c>
      <c r="BY516" t="s">
        <v>221</v>
      </c>
      <c r="CA516" t="s">
        <v>365</v>
      </c>
      <c r="CB516" t="s">
        <v>223</v>
      </c>
      <c r="CC516" t="s">
        <v>222</v>
      </c>
      <c r="CD516" t="s">
        <v>223</v>
      </c>
      <c r="CE516" t="s">
        <v>242</v>
      </c>
      <c r="CJ516" t="s">
        <v>206</v>
      </c>
      <c r="CK516" t="s">
        <v>230</v>
      </c>
      <c r="CL516" t="s">
        <v>231</v>
      </c>
      <c r="CM516" t="s">
        <v>232</v>
      </c>
      <c r="CN516" t="s">
        <v>233</v>
      </c>
      <c r="CP516" t="s">
        <v>212</v>
      </c>
      <c r="CQ516" t="s">
        <v>212</v>
      </c>
      <c r="CR516" t="s">
        <v>212</v>
      </c>
      <c r="CS516" t="s">
        <v>212</v>
      </c>
      <c r="CY516" t="s">
        <v>212</v>
      </c>
      <c r="DB516" t="s">
        <v>234</v>
      </c>
      <c r="DE516" t="s">
        <v>212</v>
      </c>
      <c r="DF516" t="s">
        <v>212</v>
      </c>
      <c r="DG516" t="s">
        <v>235</v>
      </c>
      <c r="DH516" t="s">
        <v>212</v>
      </c>
      <c r="DJ516" t="s">
        <v>236</v>
      </c>
      <c r="DM516" t="s">
        <v>212</v>
      </c>
    </row>
    <row r="517" spans="1:117" x14ac:dyDescent="0.3">
      <c r="A517">
        <v>352432</v>
      </c>
      <c r="B517">
        <v>318254</v>
      </c>
      <c r="C517" t="str">
        <f>"100423651084"</f>
        <v>100423651084</v>
      </c>
      <c r="D517" t="s">
        <v>1527</v>
      </c>
      <c r="E517" t="s">
        <v>1425</v>
      </c>
      <c r="F517" t="s">
        <v>1528</v>
      </c>
      <c r="G517" s="1">
        <v>40291</v>
      </c>
      <c r="I517" t="s">
        <v>199</v>
      </c>
      <c r="J517" t="s">
        <v>200</v>
      </c>
      <c r="K517" t="s">
        <v>1529</v>
      </c>
      <c r="R517" t="str">
        <f>"АНДОРРА, АКМОЛИНСКАЯ, СТЕПНОГОРСК, 33, 115"</f>
        <v>АНДОРРА, АКМОЛИНСКАЯ, СТЕПНОГОРСК, 33, 115</v>
      </c>
      <c r="S517" t="str">
        <f>"АНДОРРА, АҚМОЛА, СТЕПНОГОР, 33, 115"</f>
        <v>АНДОРРА, АҚМОЛА, СТЕПНОГОР, 33, 115</v>
      </c>
      <c r="T517" t="str">
        <f>"33, 115"</f>
        <v>33, 115</v>
      </c>
      <c r="U517" t="str">
        <f>"33, 115"</f>
        <v>33, 115</v>
      </c>
      <c r="AC517" t="str">
        <f t="shared" si="15"/>
        <v>2015-09-01T00:00:00</v>
      </c>
      <c r="AD517" t="str">
        <f t="shared" si="16"/>
        <v>1</v>
      </c>
      <c r="AG517" t="s">
        <v>202</v>
      </c>
      <c r="AH517" t="str">
        <f>"ckool007@mail.ru"</f>
        <v>ckool007@mail.ru</v>
      </c>
      <c r="AI517" t="s">
        <v>203</v>
      </c>
      <c r="AJ517" t="s">
        <v>286</v>
      </c>
      <c r="AK517" t="s">
        <v>205</v>
      </c>
      <c r="AL517" t="s">
        <v>206</v>
      </c>
      <c r="AN517" t="s">
        <v>207</v>
      </c>
      <c r="AO517">
        <v>1</v>
      </c>
      <c r="AP517" t="s">
        <v>208</v>
      </c>
      <c r="AQ517" t="s">
        <v>209</v>
      </c>
      <c r="AR517" t="s">
        <v>210</v>
      </c>
      <c r="AW517" t="s">
        <v>206</v>
      </c>
      <c r="AX517" t="s">
        <v>211</v>
      </c>
      <c r="AZ517" t="s">
        <v>209</v>
      </c>
      <c r="BI517" t="s">
        <v>212</v>
      </c>
      <c r="BJ517" t="s">
        <v>213</v>
      </c>
      <c r="BK517" t="s">
        <v>214</v>
      </c>
      <c r="BL517" t="s">
        <v>215</v>
      </c>
      <c r="BN517" t="s">
        <v>216</v>
      </c>
      <c r="BO517" t="s">
        <v>209</v>
      </c>
      <c r="BP517" t="s">
        <v>217</v>
      </c>
      <c r="BQ517" t="s">
        <v>1530</v>
      </c>
      <c r="BS517" t="s">
        <v>219</v>
      </c>
      <c r="BT517" t="s">
        <v>220</v>
      </c>
      <c r="BU517" t="s">
        <v>206</v>
      </c>
      <c r="BX517" t="s">
        <v>234</v>
      </c>
      <c r="BY517" t="s">
        <v>234</v>
      </c>
      <c r="CA517" t="s">
        <v>287</v>
      </c>
      <c r="CC517" t="s">
        <v>353</v>
      </c>
      <c r="CD517" t="s">
        <v>223</v>
      </c>
      <c r="CE517" t="s">
        <v>242</v>
      </c>
      <c r="CJ517" t="s">
        <v>206</v>
      </c>
      <c r="CK517" t="s">
        <v>230</v>
      </c>
      <c r="CL517" t="s">
        <v>231</v>
      </c>
      <c r="CM517" t="s">
        <v>584</v>
      </c>
      <c r="CN517" t="s">
        <v>233</v>
      </c>
      <c r="CP517" t="s">
        <v>212</v>
      </c>
      <c r="CQ517" t="s">
        <v>212</v>
      </c>
      <c r="CR517" t="s">
        <v>212</v>
      </c>
      <c r="CS517" t="s">
        <v>212</v>
      </c>
      <c r="CY517" t="s">
        <v>212</v>
      </c>
      <c r="DB517" t="s">
        <v>234</v>
      </c>
      <c r="DE517" t="s">
        <v>212</v>
      </c>
      <c r="DF517" t="s">
        <v>212</v>
      </c>
      <c r="DG517" t="s">
        <v>235</v>
      </c>
      <c r="DH517" t="s">
        <v>212</v>
      </c>
      <c r="DJ517" t="s">
        <v>236</v>
      </c>
      <c r="DM517" t="s">
        <v>212</v>
      </c>
    </row>
    <row r="518" spans="1:117" x14ac:dyDescent="0.3">
      <c r="A518">
        <v>352222</v>
      </c>
      <c r="B518">
        <v>318076</v>
      </c>
      <c r="C518" t="str">
        <f>"090724650955"</f>
        <v>090724650955</v>
      </c>
      <c r="D518" t="s">
        <v>1531</v>
      </c>
      <c r="E518" t="s">
        <v>1532</v>
      </c>
      <c r="F518" t="s">
        <v>1533</v>
      </c>
      <c r="G518" s="1">
        <v>40018</v>
      </c>
      <c r="I518" t="s">
        <v>199</v>
      </c>
      <c r="J518" t="s">
        <v>200</v>
      </c>
      <c r="K518" t="s">
        <v>201</v>
      </c>
      <c r="R518" t="str">
        <f>"АНДОРРА, АКМОЛИНСКАЯ, СТЕПНОГОРСК, 12, 74"</f>
        <v>АНДОРРА, АКМОЛИНСКАЯ, СТЕПНОГОРСК, 12, 74</v>
      </c>
      <c r="S518" t="str">
        <f>"АНДОРРА, АҚМОЛА, СТЕПНОГОР, 12, 74"</f>
        <v>АНДОРРА, АҚМОЛА, СТЕПНОГОР, 12, 74</v>
      </c>
      <c r="T518" t="str">
        <f>"12, 74"</f>
        <v>12, 74</v>
      </c>
      <c r="U518" t="str">
        <f>"12, 74"</f>
        <v>12, 74</v>
      </c>
      <c r="AC518" t="str">
        <f>"2016-09-01T00:00:00"</f>
        <v>2016-09-01T00:00:00</v>
      </c>
      <c r="AD518" t="str">
        <f t="shared" si="16"/>
        <v>1</v>
      </c>
      <c r="AG518" t="s">
        <v>202</v>
      </c>
      <c r="AH518" t="str">
        <f>"perizat@mail.ru"</f>
        <v>perizat@mail.ru</v>
      </c>
      <c r="AI518" t="s">
        <v>203</v>
      </c>
      <c r="AJ518" t="s">
        <v>286</v>
      </c>
      <c r="AK518" t="s">
        <v>253</v>
      </c>
      <c r="AL518" t="s">
        <v>206</v>
      </c>
      <c r="AN518" t="s">
        <v>254</v>
      </c>
      <c r="AO518">
        <v>1</v>
      </c>
      <c r="AP518" t="s">
        <v>208</v>
      </c>
      <c r="AQ518" t="s">
        <v>209</v>
      </c>
      <c r="AR518" t="s">
        <v>210</v>
      </c>
      <c r="AV518" t="str">
        <f>"2021-01-19T11:22:42"</f>
        <v>2021-01-19T11:22:42</v>
      </c>
      <c r="AW518" t="s">
        <v>206</v>
      </c>
      <c r="AX518" t="s">
        <v>211</v>
      </c>
      <c r="AZ518" t="s">
        <v>209</v>
      </c>
      <c r="BI518" t="s">
        <v>212</v>
      </c>
      <c r="BJ518" t="s">
        <v>213</v>
      </c>
      <c r="BK518" t="s">
        <v>214</v>
      </c>
      <c r="BL518" t="s">
        <v>215</v>
      </c>
      <c r="BN518" t="s">
        <v>216</v>
      </c>
      <c r="BO518" t="s">
        <v>209</v>
      </c>
      <c r="BP518" t="s">
        <v>241</v>
      </c>
      <c r="BQ518">
        <v>4</v>
      </c>
      <c r="BS518" t="s">
        <v>219</v>
      </c>
      <c r="BT518" t="s">
        <v>220</v>
      </c>
      <c r="BU518" t="s">
        <v>206</v>
      </c>
      <c r="BX518" t="s">
        <v>221</v>
      </c>
      <c r="BY518" t="s">
        <v>221</v>
      </c>
      <c r="CA518" t="s">
        <v>256</v>
      </c>
      <c r="CB518" t="s">
        <v>223</v>
      </c>
      <c r="CC518" t="s">
        <v>334</v>
      </c>
      <c r="CD518" t="s">
        <v>223</v>
      </c>
      <c r="CE518" t="s">
        <v>242</v>
      </c>
      <c r="CJ518" t="s">
        <v>206</v>
      </c>
      <c r="CK518" t="s">
        <v>230</v>
      </c>
      <c r="CL518" t="s">
        <v>231</v>
      </c>
      <c r="CM518" t="s">
        <v>232</v>
      </c>
      <c r="CN518" t="s">
        <v>233</v>
      </c>
      <c r="CP518" t="s">
        <v>212</v>
      </c>
      <c r="CQ518" t="s">
        <v>212</v>
      </c>
      <c r="CR518" t="s">
        <v>212</v>
      </c>
      <c r="CS518" t="s">
        <v>212</v>
      </c>
      <c r="CY518" t="s">
        <v>212</v>
      </c>
      <c r="DB518" t="s">
        <v>234</v>
      </c>
      <c r="DE518" t="s">
        <v>212</v>
      </c>
      <c r="DF518" t="s">
        <v>212</v>
      </c>
      <c r="DG518" t="s">
        <v>235</v>
      </c>
      <c r="DH518" t="s">
        <v>212</v>
      </c>
      <c r="DJ518" t="s">
        <v>236</v>
      </c>
      <c r="DM518" t="s">
        <v>206</v>
      </c>
    </row>
    <row r="519" spans="1:117" x14ac:dyDescent="0.3">
      <c r="A519">
        <v>352049</v>
      </c>
      <c r="B519">
        <v>317926</v>
      </c>
      <c r="C519" t="str">
        <f>"090826650200"</f>
        <v>090826650200</v>
      </c>
      <c r="D519" t="s">
        <v>1534</v>
      </c>
      <c r="E519" t="s">
        <v>1535</v>
      </c>
      <c r="F519" t="s">
        <v>1536</v>
      </c>
      <c r="G519" s="1">
        <v>40051</v>
      </c>
      <c r="I519" t="s">
        <v>199</v>
      </c>
      <c r="J519" t="s">
        <v>200</v>
      </c>
      <c r="K519" t="s">
        <v>201</v>
      </c>
      <c r="R519" t="str">
        <f>"АНДОРРА, АКМОЛИНСКАЯ, СТЕПНОГОРСК, 11, 94"</f>
        <v>АНДОРРА, АКМОЛИНСКАЯ, СТЕПНОГОРСК, 11, 94</v>
      </c>
      <c r="S519" t="str">
        <f>"АНДОРРА, АҚМОЛА, СТЕПНОГОР, 11, 94"</f>
        <v>АНДОРРА, АҚМОЛА, СТЕПНОГОР, 11, 94</v>
      </c>
      <c r="T519" t="str">
        <f>"11, 94"</f>
        <v>11, 94</v>
      </c>
      <c r="U519" t="str">
        <f>"11, 94"</f>
        <v>11, 94</v>
      </c>
      <c r="AC519" t="str">
        <f>"2016-09-01T00:00:00"</f>
        <v>2016-09-01T00:00:00</v>
      </c>
      <c r="AD519" t="str">
        <f t="shared" si="16"/>
        <v>1</v>
      </c>
      <c r="AG519" t="s">
        <v>202</v>
      </c>
      <c r="AH519" t="str">
        <f>"ckool007@mail.ru"</f>
        <v>ckool007@mail.ru</v>
      </c>
      <c r="AI519" t="s">
        <v>203</v>
      </c>
      <c r="AJ519" t="s">
        <v>286</v>
      </c>
      <c r="AK519" t="s">
        <v>253</v>
      </c>
      <c r="AL519" t="s">
        <v>206</v>
      </c>
      <c r="AN519" t="s">
        <v>254</v>
      </c>
      <c r="AO519">
        <v>1</v>
      </c>
      <c r="AP519" t="s">
        <v>208</v>
      </c>
      <c r="AQ519" t="s">
        <v>209</v>
      </c>
      <c r="AR519" t="s">
        <v>210</v>
      </c>
      <c r="AW519" t="s">
        <v>206</v>
      </c>
      <c r="AX519" t="s">
        <v>211</v>
      </c>
      <c r="AZ519" t="s">
        <v>209</v>
      </c>
      <c r="BI519" t="s">
        <v>212</v>
      </c>
      <c r="BJ519" t="s">
        <v>213</v>
      </c>
      <c r="BK519" t="s">
        <v>214</v>
      </c>
      <c r="BL519" t="s">
        <v>215</v>
      </c>
      <c r="BN519" t="s">
        <v>216</v>
      </c>
      <c r="BO519" t="s">
        <v>209</v>
      </c>
      <c r="BP519" t="s">
        <v>217</v>
      </c>
      <c r="BQ519" t="s">
        <v>1537</v>
      </c>
      <c r="BS519" t="s">
        <v>219</v>
      </c>
      <c r="BT519" t="s">
        <v>220</v>
      </c>
      <c r="BU519" t="s">
        <v>206</v>
      </c>
      <c r="BX519" t="s">
        <v>221</v>
      </c>
      <c r="BY519" t="s">
        <v>221</v>
      </c>
      <c r="CA519" t="s">
        <v>287</v>
      </c>
      <c r="CC519" t="s">
        <v>334</v>
      </c>
      <c r="CD519" t="s">
        <v>223</v>
      </c>
      <c r="CE519" t="s">
        <v>242</v>
      </c>
      <c r="CJ519" t="s">
        <v>206</v>
      </c>
      <c r="CK519" t="s">
        <v>230</v>
      </c>
      <c r="CL519" t="s">
        <v>231</v>
      </c>
      <c r="CM519" t="s">
        <v>232</v>
      </c>
      <c r="CN519" t="s">
        <v>233</v>
      </c>
      <c r="CP519" t="s">
        <v>212</v>
      </c>
      <c r="CQ519" t="s">
        <v>212</v>
      </c>
      <c r="CR519" t="s">
        <v>212</v>
      </c>
      <c r="CS519" t="s">
        <v>212</v>
      </c>
      <c r="CY519" t="s">
        <v>212</v>
      </c>
      <c r="DB519" t="s">
        <v>234</v>
      </c>
      <c r="DE519" t="s">
        <v>212</v>
      </c>
      <c r="DF519" t="s">
        <v>212</v>
      </c>
      <c r="DG519" t="s">
        <v>235</v>
      </c>
      <c r="DH519" t="s">
        <v>212</v>
      </c>
      <c r="DJ519" t="s">
        <v>236</v>
      </c>
      <c r="DM519" t="s">
        <v>212</v>
      </c>
    </row>
    <row r="520" spans="1:117" x14ac:dyDescent="0.3">
      <c r="A520">
        <v>351915</v>
      </c>
      <c r="B520">
        <v>317804</v>
      </c>
      <c r="C520" t="str">
        <f>"101218500646"</f>
        <v>101218500646</v>
      </c>
      <c r="D520" t="s">
        <v>1076</v>
      </c>
      <c r="E520" t="s">
        <v>1538</v>
      </c>
      <c r="F520" t="s">
        <v>1078</v>
      </c>
      <c r="G520" s="1">
        <v>40530</v>
      </c>
      <c r="I520" t="s">
        <v>240</v>
      </c>
      <c r="J520" t="s">
        <v>200</v>
      </c>
      <c r="K520" t="s">
        <v>201</v>
      </c>
      <c r="R520" t="str">
        <f>"АНДОРРА, АКМОЛИНСКАЯ, СТЕПНОГОРСК, 11, 106"</f>
        <v>АНДОРРА, АКМОЛИНСКАЯ, СТЕПНОГОРСК, 11, 106</v>
      </c>
      <c r="S520" t="str">
        <f>"АНДОРРА, АҚМОЛА, СТЕПНОГОР, 11, 106"</f>
        <v>АНДОРРА, АҚМОЛА, СТЕПНОГОР, 11, 106</v>
      </c>
      <c r="T520" t="str">
        <f>"11, 106"</f>
        <v>11, 106</v>
      </c>
      <c r="U520" t="str">
        <f>"11, 106"</f>
        <v>11, 106</v>
      </c>
      <c r="AC520" t="str">
        <f>"2017-08-29T00:00:00"</f>
        <v>2017-08-29T00:00:00</v>
      </c>
      <c r="AD520" t="str">
        <f>"112"</f>
        <v>112</v>
      </c>
      <c r="AE520" t="str">
        <f>"2023-09-01T00:26:05"</f>
        <v>2023-09-01T00:26:05</v>
      </c>
      <c r="AF520" t="str">
        <f>"2024-05-25T00:26:05"</f>
        <v>2024-05-25T00:26:05</v>
      </c>
      <c r="AG520" t="s">
        <v>202</v>
      </c>
      <c r="AI520" t="s">
        <v>274</v>
      </c>
      <c r="AJ520" t="s">
        <v>300</v>
      </c>
      <c r="AK520" t="s">
        <v>253</v>
      </c>
      <c r="AL520" t="s">
        <v>206</v>
      </c>
      <c r="AN520" t="s">
        <v>254</v>
      </c>
      <c r="AO520">
        <v>1</v>
      </c>
      <c r="AP520" t="s">
        <v>208</v>
      </c>
      <c r="AQ520" t="s">
        <v>209</v>
      </c>
      <c r="AR520" t="s">
        <v>210</v>
      </c>
      <c r="AW520" t="s">
        <v>206</v>
      </c>
      <c r="AX520" t="s">
        <v>211</v>
      </c>
      <c r="AZ520" t="s">
        <v>209</v>
      </c>
      <c r="BI520" t="s">
        <v>212</v>
      </c>
      <c r="BJ520" t="s">
        <v>213</v>
      </c>
      <c r="BK520" t="s">
        <v>214</v>
      </c>
      <c r="BL520" t="s">
        <v>215</v>
      </c>
      <c r="BN520" t="s">
        <v>216</v>
      </c>
      <c r="BO520" t="s">
        <v>209</v>
      </c>
      <c r="BP520" t="s">
        <v>241</v>
      </c>
      <c r="BQ520">
        <v>5</v>
      </c>
      <c r="BS520" t="s">
        <v>219</v>
      </c>
      <c r="BT520" t="s">
        <v>220</v>
      </c>
      <c r="BU520" t="s">
        <v>212</v>
      </c>
      <c r="BX520" t="s">
        <v>221</v>
      </c>
      <c r="BY520" t="s">
        <v>221</v>
      </c>
      <c r="CA520" t="s">
        <v>256</v>
      </c>
      <c r="CB520" t="s">
        <v>223</v>
      </c>
      <c r="CC520" t="s">
        <v>256</v>
      </c>
      <c r="CD520" t="s">
        <v>223</v>
      </c>
      <c r="CE520" t="s">
        <v>242</v>
      </c>
      <c r="CJ520" t="s">
        <v>206</v>
      </c>
      <c r="CK520" t="s">
        <v>230</v>
      </c>
      <c r="CL520" t="s">
        <v>231</v>
      </c>
      <c r="CM520" t="s">
        <v>232</v>
      </c>
      <c r="CN520" t="s">
        <v>233</v>
      </c>
      <c r="CP520" t="s">
        <v>212</v>
      </c>
      <c r="CQ520" t="s">
        <v>212</v>
      </c>
      <c r="CR520" t="s">
        <v>212</v>
      </c>
      <c r="CS520" t="s">
        <v>212</v>
      </c>
      <c r="CY520" t="s">
        <v>212</v>
      </c>
      <c r="DB520" t="s">
        <v>234</v>
      </c>
      <c r="DE520" t="s">
        <v>212</v>
      </c>
      <c r="DF520" t="s">
        <v>212</v>
      </c>
      <c r="DG520" t="s">
        <v>235</v>
      </c>
      <c r="DH520" t="s">
        <v>212</v>
      </c>
      <c r="DJ520" t="s">
        <v>236</v>
      </c>
      <c r="DM520" t="s">
        <v>212</v>
      </c>
    </row>
    <row r="521" spans="1:117" x14ac:dyDescent="0.3">
      <c r="A521">
        <v>351865</v>
      </c>
      <c r="B521">
        <v>317763</v>
      </c>
      <c r="C521" t="str">
        <f>"080909553911"</f>
        <v>080909553911</v>
      </c>
      <c r="D521" t="s">
        <v>1539</v>
      </c>
      <c r="E521" t="s">
        <v>1091</v>
      </c>
      <c r="F521" t="s">
        <v>411</v>
      </c>
      <c r="G521" s="1">
        <v>39700</v>
      </c>
      <c r="I521" t="s">
        <v>240</v>
      </c>
      <c r="J521" t="s">
        <v>200</v>
      </c>
      <c r="K521" t="s">
        <v>260</v>
      </c>
      <c r="Q521" t="s">
        <v>212</v>
      </c>
      <c r="R521" t="str">
        <f>"КАЗАХСТАН, АКМОЛИНСКАЯ, СТЕПНОГОРСК, 21, 53"</f>
        <v>КАЗАХСТАН, АКМОЛИНСКАЯ, СТЕПНОГОРСК, 21, 53</v>
      </c>
      <c r="S521" t="str">
        <f>"ҚАЗАҚСТАН, АҚМОЛА, СТЕПНОГОР, 21, 53"</f>
        <v>ҚАЗАҚСТАН, АҚМОЛА, СТЕПНОГОР, 21, 53</v>
      </c>
      <c r="T521" t="str">
        <f>"21, 53"</f>
        <v>21, 53</v>
      </c>
      <c r="U521" t="str">
        <f>"21, 53"</f>
        <v>21, 53</v>
      </c>
      <c r="AC521" t="str">
        <f>"2015-01-12T00:00:00"</f>
        <v>2015-01-12T00:00:00</v>
      </c>
      <c r="AD521" t="str">
        <f>"49"</f>
        <v>49</v>
      </c>
      <c r="AE521" t="str">
        <f>"2023-09-01T16:01:57"</f>
        <v>2023-09-01T16:01:57</v>
      </c>
      <c r="AF521" t="str">
        <f>"2024-05-25T16:01:57"</f>
        <v>2024-05-25T16:01:57</v>
      </c>
      <c r="AG521" t="s">
        <v>202</v>
      </c>
      <c r="AH521" t="str">
        <f>"ckool007@mail.ru"</f>
        <v>ckool007@mail.ru</v>
      </c>
      <c r="AI521" t="s">
        <v>203</v>
      </c>
      <c r="AJ521" t="s">
        <v>286</v>
      </c>
      <c r="AK521" t="s">
        <v>246</v>
      </c>
      <c r="AL521" t="s">
        <v>206</v>
      </c>
      <c r="AN521" t="s">
        <v>207</v>
      </c>
      <c r="AO521">
        <v>1</v>
      </c>
      <c r="AP521" t="s">
        <v>208</v>
      </c>
      <c r="AQ521" t="s">
        <v>209</v>
      </c>
      <c r="AR521" t="s">
        <v>210</v>
      </c>
      <c r="AW521" t="s">
        <v>206</v>
      </c>
      <c r="AX521" t="s">
        <v>211</v>
      </c>
      <c r="AZ521" t="s">
        <v>209</v>
      </c>
      <c r="BI521" t="s">
        <v>212</v>
      </c>
      <c r="BJ521" t="s">
        <v>213</v>
      </c>
      <c r="BK521" t="s">
        <v>214</v>
      </c>
      <c r="BL521" t="s">
        <v>215</v>
      </c>
      <c r="BN521" t="s">
        <v>247</v>
      </c>
      <c r="BO521" t="s">
        <v>209</v>
      </c>
      <c r="BP521" t="s">
        <v>241</v>
      </c>
      <c r="BQ521">
        <v>3</v>
      </c>
      <c r="BS521" t="s">
        <v>219</v>
      </c>
      <c r="BT521" t="s">
        <v>220</v>
      </c>
      <c r="BU521" t="s">
        <v>206</v>
      </c>
      <c r="BX521" t="s">
        <v>221</v>
      </c>
      <c r="BY521" t="s">
        <v>221</v>
      </c>
      <c r="CA521" t="s">
        <v>365</v>
      </c>
      <c r="CB521" t="s">
        <v>223</v>
      </c>
      <c r="CC521" t="s">
        <v>209</v>
      </c>
      <c r="CE521" t="s">
        <v>242</v>
      </c>
      <c r="CJ521" t="s">
        <v>206</v>
      </c>
      <c r="CK521" t="s">
        <v>291</v>
      </c>
      <c r="CM521" t="s">
        <v>292</v>
      </c>
      <c r="CN521" t="s">
        <v>233</v>
      </c>
      <c r="CO521" t="s">
        <v>221</v>
      </c>
      <c r="CP521" t="s">
        <v>212</v>
      </c>
      <c r="CQ521" t="s">
        <v>212</v>
      </c>
      <c r="CR521" t="s">
        <v>212</v>
      </c>
      <c r="CS521" t="s">
        <v>212</v>
      </c>
      <c r="CY521" t="s">
        <v>212</v>
      </c>
      <c r="DB521" t="s">
        <v>234</v>
      </c>
      <c r="DE521" t="s">
        <v>212</v>
      </c>
      <c r="DF521" t="s">
        <v>212</v>
      </c>
      <c r="DG521" t="s">
        <v>235</v>
      </c>
      <c r="DH521" t="s">
        <v>212</v>
      </c>
      <c r="DJ521" t="s">
        <v>236</v>
      </c>
      <c r="DM521" t="s">
        <v>212</v>
      </c>
    </row>
    <row r="522" spans="1:117" x14ac:dyDescent="0.3">
      <c r="A522">
        <v>351681</v>
      </c>
      <c r="B522">
        <v>317609</v>
      </c>
      <c r="C522" t="str">
        <f>"110730500956"</f>
        <v>110730500956</v>
      </c>
      <c r="D522" t="s">
        <v>1540</v>
      </c>
      <c r="E522" t="s">
        <v>425</v>
      </c>
      <c r="F522" t="s">
        <v>1541</v>
      </c>
      <c r="G522" s="1">
        <v>40754</v>
      </c>
      <c r="I522" t="s">
        <v>240</v>
      </c>
      <c r="J522" t="s">
        <v>200</v>
      </c>
      <c r="K522" t="s">
        <v>260</v>
      </c>
      <c r="R522" t="str">
        <f>"КАЗАХСТАН, АКМОЛИНСКАЯ, СТЕПНОГОРСК, 42, 58"</f>
        <v>КАЗАХСТАН, АКМОЛИНСКАЯ, СТЕПНОГОРСК, 42, 58</v>
      </c>
      <c r="S522" t="str">
        <f>"ҚАЗАҚСТАН, АҚМОЛА, СТЕПНОГОР, 42, 58"</f>
        <v>ҚАЗАҚСТАН, АҚМОЛА, СТЕПНОГОР, 42, 58</v>
      </c>
      <c r="T522" t="str">
        <f>"42, 58"</f>
        <v>42, 58</v>
      </c>
      <c r="U522" t="str">
        <f>"42, 58"</f>
        <v>42, 58</v>
      </c>
      <c r="AC522" t="str">
        <f>"2017-08-29T00:00:00"</f>
        <v>2017-08-29T00:00:00</v>
      </c>
      <c r="AD522" t="str">
        <f>"112"</f>
        <v>112</v>
      </c>
      <c r="AG522" t="s">
        <v>202</v>
      </c>
      <c r="AI522" t="s">
        <v>203</v>
      </c>
      <c r="AJ522" t="s">
        <v>300</v>
      </c>
      <c r="AK522" t="s">
        <v>246</v>
      </c>
      <c r="AL522" t="s">
        <v>206</v>
      </c>
      <c r="AN522" t="s">
        <v>207</v>
      </c>
      <c r="AO522">
        <v>1</v>
      </c>
      <c r="AP522" t="s">
        <v>208</v>
      </c>
      <c r="AQ522" t="s">
        <v>209</v>
      </c>
      <c r="AR522" t="s">
        <v>210</v>
      </c>
      <c r="AW522" t="s">
        <v>206</v>
      </c>
      <c r="AX522" t="s">
        <v>211</v>
      </c>
      <c r="AZ522" t="s">
        <v>209</v>
      </c>
      <c r="BI522" t="s">
        <v>212</v>
      </c>
      <c r="BJ522" t="s">
        <v>213</v>
      </c>
      <c r="BK522" t="s">
        <v>214</v>
      </c>
      <c r="BL522" t="s">
        <v>215</v>
      </c>
      <c r="BN522" t="s">
        <v>247</v>
      </c>
      <c r="BO522" t="s">
        <v>209</v>
      </c>
      <c r="BP522" t="s">
        <v>241</v>
      </c>
      <c r="BQ522">
        <v>4</v>
      </c>
      <c r="BS522" t="s">
        <v>219</v>
      </c>
      <c r="BT522" t="s">
        <v>220</v>
      </c>
      <c r="BU522" t="s">
        <v>206</v>
      </c>
      <c r="BX522" t="s">
        <v>221</v>
      </c>
      <c r="BY522" t="s">
        <v>221</v>
      </c>
      <c r="CA522" t="s">
        <v>222</v>
      </c>
      <c r="CB522" t="s">
        <v>223</v>
      </c>
      <c r="CC522" t="s">
        <v>222</v>
      </c>
      <c r="CD522" t="s">
        <v>223</v>
      </c>
      <c r="CE522" t="s">
        <v>242</v>
      </c>
      <c r="CJ522" t="s">
        <v>206</v>
      </c>
      <c r="CK522" t="s">
        <v>230</v>
      </c>
      <c r="CL522" t="s">
        <v>231</v>
      </c>
      <c r="CM522" t="s">
        <v>232</v>
      </c>
      <c r="CN522" t="s">
        <v>233</v>
      </c>
      <c r="CP522" t="s">
        <v>212</v>
      </c>
      <c r="CQ522" t="s">
        <v>212</v>
      </c>
      <c r="CR522" t="s">
        <v>212</v>
      </c>
      <c r="CS522" t="s">
        <v>212</v>
      </c>
      <c r="CY522" t="s">
        <v>212</v>
      </c>
      <c r="DB522" t="s">
        <v>234</v>
      </c>
      <c r="DE522" t="s">
        <v>212</v>
      </c>
      <c r="DF522" t="s">
        <v>212</v>
      </c>
      <c r="DG522" t="s">
        <v>235</v>
      </c>
      <c r="DH522" t="s">
        <v>212</v>
      </c>
      <c r="DJ522" t="s">
        <v>236</v>
      </c>
      <c r="DM522" t="s">
        <v>212</v>
      </c>
    </row>
    <row r="523" spans="1:117" x14ac:dyDescent="0.3">
      <c r="A523">
        <v>351641</v>
      </c>
      <c r="B523">
        <v>317583</v>
      </c>
      <c r="C523" t="str">
        <f>"080410000064"</f>
        <v>080410000064</v>
      </c>
      <c r="D523" t="s">
        <v>1542</v>
      </c>
      <c r="E523" t="s">
        <v>1543</v>
      </c>
      <c r="F523" t="s">
        <v>1544</v>
      </c>
      <c r="G523" s="1">
        <v>39548</v>
      </c>
      <c r="I523" t="s">
        <v>240</v>
      </c>
      <c r="J523" t="s">
        <v>757</v>
      </c>
      <c r="K523" t="s">
        <v>201</v>
      </c>
      <c r="L523" t="s">
        <v>212</v>
      </c>
      <c r="Q523" t="s">
        <v>212</v>
      </c>
      <c r="R523" t="str">
        <f>"АНДОРРА, АКМОЛИНСКАЯ, СТЕПНОГОРСК, 11, 86"</f>
        <v>АНДОРРА, АКМОЛИНСКАЯ, СТЕПНОГОРСК, 11, 86</v>
      </c>
      <c r="S523" t="str">
        <f>"АНДОРРА, АҚМОЛА, СТЕПНОГОР, 11, 86"</f>
        <v>АНДОРРА, АҚМОЛА, СТЕПНОГОР, 11, 86</v>
      </c>
      <c r="T523" t="str">
        <f>"11, 86"</f>
        <v>11, 86</v>
      </c>
      <c r="U523" t="str">
        <f>"11, 86"</f>
        <v>11, 86</v>
      </c>
      <c r="AC523" t="str">
        <f>"2015-09-01T00:00:00"</f>
        <v>2015-09-01T00:00:00</v>
      </c>
      <c r="AD523" t="str">
        <f>"1"</f>
        <v>1</v>
      </c>
      <c r="AG523" t="s">
        <v>202</v>
      </c>
      <c r="AH523" t="str">
        <f>"ckool007@mail.ru"</f>
        <v>ckool007@mail.ru</v>
      </c>
      <c r="AI523" t="s">
        <v>203</v>
      </c>
      <c r="AJ523" t="s">
        <v>204</v>
      </c>
      <c r="AK523" t="s">
        <v>253</v>
      </c>
      <c r="AL523" t="s">
        <v>206</v>
      </c>
      <c r="AN523" t="s">
        <v>254</v>
      </c>
      <c r="AO523">
        <v>1</v>
      </c>
      <c r="AP523" t="s">
        <v>208</v>
      </c>
      <c r="AQ523" t="s">
        <v>209</v>
      </c>
      <c r="AR523" t="s">
        <v>210</v>
      </c>
      <c r="AW523" t="s">
        <v>206</v>
      </c>
      <c r="AX523" t="s">
        <v>211</v>
      </c>
      <c r="AZ523" t="s">
        <v>209</v>
      </c>
      <c r="BI523" t="s">
        <v>212</v>
      </c>
      <c r="BJ523" t="s">
        <v>213</v>
      </c>
      <c r="BK523" t="s">
        <v>214</v>
      </c>
      <c r="BL523" t="s">
        <v>215</v>
      </c>
      <c r="BN523" t="s">
        <v>247</v>
      </c>
      <c r="BO523" t="s">
        <v>209</v>
      </c>
      <c r="BP523" t="s">
        <v>241</v>
      </c>
      <c r="BQ523">
        <v>3</v>
      </c>
      <c r="BS523" t="s">
        <v>219</v>
      </c>
      <c r="BT523" t="s">
        <v>220</v>
      </c>
      <c r="BU523" t="s">
        <v>206</v>
      </c>
      <c r="BX523" t="s">
        <v>221</v>
      </c>
      <c r="BY523" t="s">
        <v>221</v>
      </c>
      <c r="CA523" t="s">
        <v>338</v>
      </c>
      <c r="CB523" t="s">
        <v>223</v>
      </c>
      <c r="CC523" t="s">
        <v>209</v>
      </c>
      <c r="CE523" t="s">
        <v>242</v>
      </c>
      <c r="CJ523" t="s">
        <v>206</v>
      </c>
      <c r="CK523" t="s">
        <v>230</v>
      </c>
      <c r="CL523" t="s">
        <v>231</v>
      </c>
      <c r="CM523" t="s">
        <v>232</v>
      </c>
      <c r="CN523" t="s">
        <v>233</v>
      </c>
      <c r="CP523" t="s">
        <v>212</v>
      </c>
      <c r="CQ523" t="s">
        <v>212</v>
      </c>
      <c r="CR523" t="s">
        <v>212</v>
      </c>
      <c r="CS523" t="s">
        <v>212</v>
      </c>
      <c r="CY523" t="s">
        <v>212</v>
      </c>
      <c r="DB523" t="s">
        <v>234</v>
      </c>
      <c r="DE523" t="s">
        <v>212</v>
      </c>
      <c r="DF523" t="s">
        <v>212</v>
      </c>
      <c r="DG523" t="s">
        <v>235</v>
      </c>
      <c r="DH523" t="s">
        <v>212</v>
      </c>
      <c r="DJ523" t="s">
        <v>236</v>
      </c>
      <c r="DM523" t="s">
        <v>212</v>
      </c>
    </row>
    <row r="524" spans="1:117" x14ac:dyDescent="0.3">
      <c r="A524">
        <v>351572</v>
      </c>
      <c r="B524">
        <v>202873</v>
      </c>
      <c r="C524" t="str">
        <f>"100922553215"</f>
        <v>100922553215</v>
      </c>
      <c r="D524" t="s">
        <v>1107</v>
      </c>
      <c r="E524" t="s">
        <v>1545</v>
      </c>
      <c r="F524" t="s">
        <v>1546</v>
      </c>
      <c r="G524" s="1">
        <v>40443</v>
      </c>
      <c r="I524" t="s">
        <v>240</v>
      </c>
      <c r="J524" t="s">
        <v>200</v>
      </c>
      <c r="K524" t="s">
        <v>201</v>
      </c>
      <c r="R524" t="str">
        <f>"АНДОРРА, АКМОЛИНСКАЯ, СТЕПНОГОРСК, 35, 48"</f>
        <v>АНДОРРА, АКМОЛИНСКАЯ, СТЕПНОГОРСК, 35, 48</v>
      </c>
      <c r="S524" t="str">
        <f>"АНДОРРА, АҚМОЛА, СТЕПНОГОР, 35, 48"</f>
        <v>АНДОРРА, АҚМОЛА, СТЕПНОГОР, 35, 48</v>
      </c>
      <c r="T524" t="str">
        <f>"35, 48"</f>
        <v>35, 48</v>
      </c>
      <c r="U524" t="str">
        <f>"35, 48"</f>
        <v>35, 48</v>
      </c>
      <c r="AC524" t="str">
        <f>"2018-08-29T00:00:00"</f>
        <v>2018-08-29T00:00:00</v>
      </c>
      <c r="AD524" t="str">
        <f>"141"</f>
        <v>141</v>
      </c>
      <c r="AG524" t="s">
        <v>202</v>
      </c>
      <c r="AI524" t="s">
        <v>299</v>
      </c>
      <c r="AJ524" t="s">
        <v>300</v>
      </c>
      <c r="AK524" t="s">
        <v>253</v>
      </c>
      <c r="AL524" t="s">
        <v>206</v>
      </c>
      <c r="AN524" t="s">
        <v>254</v>
      </c>
      <c r="AO524">
        <v>1</v>
      </c>
      <c r="AP524" t="s">
        <v>208</v>
      </c>
      <c r="AQ524" t="s">
        <v>209</v>
      </c>
      <c r="AR524" t="s">
        <v>210</v>
      </c>
      <c r="AW524" t="s">
        <v>206</v>
      </c>
      <c r="AX524" t="s">
        <v>211</v>
      </c>
      <c r="AZ524" t="s">
        <v>209</v>
      </c>
      <c r="BI524" t="s">
        <v>212</v>
      </c>
      <c r="BJ524" t="s">
        <v>213</v>
      </c>
      <c r="BK524" t="s">
        <v>214</v>
      </c>
      <c r="BL524" t="s">
        <v>215</v>
      </c>
      <c r="BN524" t="s">
        <v>216</v>
      </c>
      <c r="BO524" t="s">
        <v>209</v>
      </c>
      <c r="BP524" t="s">
        <v>241</v>
      </c>
      <c r="BQ524">
        <v>4</v>
      </c>
      <c r="BS524" t="s">
        <v>219</v>
      </c>
      <c r="BT524" t="s">
        <v>220</v>
      </c>
      <c r="BU524" t="s">
        <v>206</v>
      </c>
      <c r="BX524" t="s">
        <v>221</v>
      </c>
      <c r="BY524" t="s">
        <v>221</v>
      </c>
      <c r="CA524" t="s">
        <v>256</v>
      </c>
      <c r="CB524" t="s">
        <v>223</v>
      </c>
      <c r="CC524" t="s">
        <v>256</v>
      </c>
      <c r="CD524" t="s">
        <v>223</v>
      </c>
      <c r="CE524" t="s">
        <v>242</v>
      </c>
      <c r="CJ524" t="s">
        <v>206</v>
      </c>
      <c r="CK524" t="s">
        <v>230</v>
      </c>
      <c r="CL524" t="s">
        <v>231</v>
      </c>
      <c r="CM524" t="s">
        <v>232</v>
      </c>
      <c r="CN524" t="s">
        <v>233</v>
      </c>
      <c r="CP524" t="s">
        <v>212</v>
      </c>
      <c r="CQ524" t="s">
        <v>212</v>
      </c>
      <c r="CR524" t="s">
        <v>212</v>
      </c>
      <c r="CS524" t="s">
        <v>212</v>
      </c>
      <c r="CY524" t="s">
        <v>212</v>
      </c>
      <c r="DB524" t="s">
        <v>234</v>
      </c>
      <c r="DE524" t="s">
        <v>212</v>
      </c>
      <c r="DF524" t="s">
        <v>212</v>
      </c>
      <c r="DG524" t="s">
        <v>235</v>
      </c>
      <c r="DH524" t="s">
        <v>212</v>
      </c>
      <c r="DJ524" t="s">
        <v>236</v>
      </c>
      <c r="DM524" t="s">
        <v>212</v>
      </c>
    </row>
    <row r="525" spans="1:117" x14ac:dyDescent="0.3">
      <c r="A525">
        <v>351539</v>
      </c>
      <c r="B525">
        <v>183788</v>
      </c>
      <c r="C525" t="str">
        <f>"100720555441"</f>
        <v>100720555441</v>
      </c>
      <c r="D525" t="s">
        <v>885</v>
      </c>
      <c r="E525" t="s">
        <v>1547</v>
      </c>
      <c r="F525" t="s">
        <v>1548</v>
      </c>
      <c r="G525" s="1">
        <v>40379</v>
      </c>
      <c r="I525" t="s">
        <v>240</v>
      </c>
      <c r="J525" t="s">
        <v>200</v>
      </c>
      <c r="K525" t="s">
        <v>201</v>
      </c>
      <c r="R525" t="str">
        <f>"КАЗАХСТАН, АКМОЛИНСКАЯ, СТЕПНОГОРСК, 78, 25"</f>
        <v>КАЗАХСТАН, АКМОЛИНСКАЯ, СТЕПНОГОРСК, 78, 25</v>
      </c>
      <c r="S525" t="str">
        <f>"ҚАЗАҚСТАН, АҚМОЛА, СТЕПНОГОР, 78, 25"</f>
        <v>ҚАЗАҚСТАН, АҚМОЛА, СТЕПНОГОР, 78, 25</v>
      </c>
      <c r="T525" t="str">
        <f>"78, 25"</f>
        <v>78, 25</v>
      </c>
      <c r="U525" t="str">
        <f>"78, 25"</f>
        <v>78, 25</v>
      </c>
      <c r="AC525" t="str">
        <f>"2017-08-29T00:00:00"</f>
        <v>2017-08-29T00:00:00</v>
      </c>
      <c r="AD525" t="str">
        <f>"112"</f>
        <v>112</v>
      </c>
      <c r="AG525" t="s">
        <v>202</v>
      </c>
      <c r="AI525" t="s">
        <v>274</v>
      </c>
      <c r="AJ525" t="s">
        <v>300</v>
      </c>
      <c r="AK525" t="s">
        <v>261</v>
      </c>
      <c r="AL525" t="s">
        <v>206</v>
      </c>
      <c r="AN525" t="s">
        <v>207</v>
      </c>
      <c r="AO525">
        <v>1</v>
      </c>
      <c r="AP525" t="s">
        <v>208</v>
      </c>
      <c r="AQ525" t="s">
        <v>209</v>
      </c>
      <c r="AR525" t="s">
        <v>210</v>
      </c>
      <c r="AW525" t="s">
        <v>206</v>
      </c>
      <c r="AX525" t="s">
        <v>211</v>
      </c>
      <c r="AZ525" t="s">
        <v>209</v>
      </c>
      <c r="BI525" t="s">
        <v>212</v>
      </c>
      <c r="BJ525" t="s">
        <v>213</v>
      </c>
      <c r="BK525" t="s">
        <v>214</v>
      </c>
      <c r="BL525" t="s">
        <v>215</v>
      </c>
      <c r="BN525" t="s">
        <v>247</v>
      </c>
      <c r="BO525" t="s">
        <v>209</v>
      </c>
      <c r="BP525" t="s">
        <v>241</v>
      </c>
      <c r="BQ525">
        <v>3</v>
      </c>
      <c r="BS525" t="s">
        <v>219</v>
      </c>
      <c r="BT525" t="s">
        <v>220</v>
      </c>
      <c r="BU525" t="s">
        <v>206</v>
      </c>
      <c r="BX525" t="s">
        <v>221</v>
      </c>
      <c r="BY525" t="s">
        <v>221</v>
      </c>
      <c r="CA525" t="s">
        <v>222</v>
      </c>
      <c r="CB525" t="s">
        <v>223</v>
      </c>
      <c r="CC525" t="s">
        <v>404</v>
      </c>
      <c r="CD525" t="s">
        <v>223</v>
      </c>
      <c r="CE525" t="s">
        <v>242</v>
      </c>
      <c r="CJ525" t="s">
        <v>206</v>
      </c>
      <c r="CK525" t="s">
        <v>230</v>
      </c>
      <c r="CL525" t="s">
        <v>231</v>
      </c>
      <c r="CM525" t="s">
        <v>232</v>
      </c>
      <c r="CN525" t="s">
        <v>233</v>
      </c>
      <c r="CP525" t="s">
        <v>212</v>
      </c>
      <c r="CQ525" t="s">
        <v>212</v>
      </c>
      <c r="CR525" t="s">
        <v>212</v>
      </c>
      <c r="CS525" t="s">
        <v>212</v>
      </c>
      <c r="CY525" t="s">
        <v>212</v>
      </c>
      <c r="DB525" t="s">
        <v>234</v>
      </c>
      <c r="DE525" t="s">
        <v>212</v>
      </c>
      <c r="DF525" t="s">
        <v>212</v>
      </c>
      <c r="DG525" t="s">
        <v>235</v>
      </c>
      <c r="DH525" t="s">
        <v>212</v>
      </c>
      <c r="DJ525" t="s">
        <v>421</v>
      </c>
      <c r="DK525" t="s">
        <v>707</v>
      </c>
      <c r="DL525" t="s">
        <v>423</v>
      </c>
      <c r="DM525" t="s">
        <v>206</v>
      </c>
    </row>
    <row r="526" spans="1:117" x14ac:dyDescent="0.3">
      <c r="A526">
        <v>351463</v>
      </c>
      <c r="B526">
        <v>317421</v>
      </c>
      <c r="C526" t="str">
        <f>"090309553298"</f>
        <v>090309553298</v>
      </c>
      <c r="D526" t="s">
        <v>1549</v>
      </c>
      <c r="E526" t="s">
        <v>828</v>
      </c>
      <c r="F526" t="s">
        <v>539</v>
      </c>
      <c r="G526" s="1">
        <v>39881</v>
      </c>
      <c r="I526" t="s">
        <v>240</v>
      </c>
      <c r="J526" t="s">
        <v>200</v>
      </c>
      <c r="K526" t="s">
        <v>260</v>
      </c>
      <c r="R526" t="str">
        <f>"АНДОРРА, АКМОЛИНСКАЯ, СТЕПНОГОРСК, СТЕПНОГОРСК, 44, 102"</f>
        <v>АНДОРРА, АКМОЛИНСКАЯ, СТЕПНОГОРСК, СТЕПНОГОРСК, 44, 102</v>
      </c>
      <c r="S526" t="str">
        <f>"АНДОРРА, АҚМОЛА, СТЕПНОГОР, СТЕПНОГОРСК, 44, 102"</f>
        <v>АНДОРРА, АҚМОЛА, СТЕПНОГОР, СТЕПНОГОРСК, 44, 102</v>
      </c>
      <c r="T526" t="str">
        <f>"СТЕПНОГОРСК, 44, 102"</f>
        <v>СТЕПНОГОРСК, 44, 102</v>
      </c>
      <c r="U526" t="str">
        <f>"СТЕПНОГОРСК, 44, 102"</f>
        <v>СТЕПНОГОРСК, 44, 102</v>
      </c>
      <c r="AC526" t="str">
        <f>"2016-08-31T00:00:00"</f>
        <v>2016-08-31T00:00:00</v>
      </c>
      <c r="AD526" t="str">
        <f>"1"</f>
        <v>1</v>
      </c>
      <c r="AG526" t="s">
        <v>202</v>
      </c>
      <c r="AH526" t="str">
        <f>"ckool007@mail.ru"</f>
        <v>ckool007@mail.ru</v>
      </c>
      <c r="AI526" t="s">
        <v>203</v>
      </c>
      <c r="AJ526" t="s">
        <v>286</v>
      </c>
      <c r="AK526" t="s">
        <v>246</v>
      </c>
      <c r="AL526" t="s">
        <v>206</v>
      </c>
      <c r="AN526" t="s">
        <v>207</v>
      </c>
      <c r="AO526">
        <v>1</v>
      </c>
      <c r="AP526" t="s">
        <v>208</v>
      </c>
      <c r="AQ526" t="s">
        <v>209</v>
      </c>
      <c r="AR526" t="s">
        <v>210</v>
      </c>
      <c r="AW526" t="s">
        <v>206</v>
      </c>
      <c r="AX526" t="s">
        <v>211</v>
      </c>
      <c r="AZ526" t="s">
        <v>209</v>
      </c>
      <c r="BI526" t="s">
        <v>212</v>
      </c>
      <c r="BJ526" t="s">
        <v>213</v>
      </c>
      <c r="BK526" t="s">
        <v>214</v>
      </c>
      <c r="BL526" t="s">
        <v>215</v>
      </c>
      <c r="BN526" t="s">
        <v>247</v>
      </c>
      <c r="BO526" t="s">
        <v>209</v>
      </c>
      <c r="BP526" t="s">
        <v>241</v>
      </c>
      <c r="BQ526">
        <v>3</v>
      </c>
      <c r="BS526" t="s">
        <v>219</v>
      </c>
      <c r="BT526" t="s">
        <v>220</v>
      </c>
      <c r="BU526" t="s">
        <v>206</v>
      </c>
      <c r="BX526" t="s">
        <v>221</v>
      </c>
      <c r="BY526" t="s">
        <v>221</v>
      </c>
      <c r="CA526" t="s">
        <v>287</v>
      </c>
      <c r="CC526" t="s">
        <v>209</v>
      </c>
      <c r="CE526" t="s">
        <v>242</v>
      </c>
      <c r="CJ526" t="s">
        <v>206</v>
      </c>
      <c r="CK526" t="s">
        <v>291</v>
      </c>
      <c r="CM526" t="s">
        <v>292</v>
      </c>
      <c r="CN526" t="s">
        <v>233</v>
      </c>
      <c r="CP526" t="s">
        <v>212</v>
      </c>
      <c r="CQ526" t="s">
        <v>212</v>
      </c>
      <c r="CR526" t="s">
        <v>212</v>
      </c>
      <c r="CS526" t="s">
        <v>212</v>
      </c>
      <c r="CY526" t="s">
        <v>212</v>
      </c>
      <c r="DB526" t="s">
        <v>234</v>
      </c>
      <c r="DE526" t="s">
        <v>212</v>
      </c>
      <c r="DF526" t="s">
        <v>212</v>
      </c>
      <c r="DG526" t="s">
        <v>235</v>
      </c>
      <c r="DH526" t="s">
        <v>212</v>
      </c>
      <c r="DJ526" t="s">
        <v>236</v>
      </c>
      <c r="DM526" t="s">
        <v>212</v>
      </c>
    </row>
    <row r="527" spans="1:117" x14ac:dyDescent="0.3">
      <c r="A527">
        <v>351397</v>
      </c>
      <c r="B527">
        <v>317359</v>
      </c>
      <c r="C527" t="str">
        <f>"071223652139"</f>
        <v>071223652139</v>
      </c>
      <c r="D527" t="s">
        <v>413</v>
      </c>
      <c r="E527" t="s">
        <v>1521</v>
      </c>
      <c r="F527" t="s">
        <v>414</v>
      </c>
      <c r="G527" s="1">
        <v>39439</v>
      </c>
      <c r="I527" t="s">
        <v>199</v>
      </c>
      <c r="J527" t="s">
        <v>200</v>
      </c>
      <c r="K527" t="s">
        <v>260</v>
      </c>
      <c r="R527" t="str">
        <f>"АНДОРРА, АКМОЛИНСКАЯ, СТЕПНОГОРСК, КЕНТI Аксу, 6, 6"</f>
        <v>АНДОРРА, АКМОЛИНСКАЯ, СТЕПНОГОРСК, КЕНТI Аксу, 6, 6</v>
      </c>
      <c r="S527" t="str">
        <f>"АНДОРРА, АҚМОЛА, СТЕПНОГОР, КЕНТI Аксу, 6, 6"</f>
        <v>АНДОРРА, АҚМОЛА, СТЕПНОГОР, КЕНТI Аксу, 6, 6</v>
      </c>
      <c r="T527" t="str">
        <f>"КЕНТI Аксу, 6, 6"</f>
        <v>КЕНТI Аксу, 6, 6</v>
      </c>
      <c r="U527" t="str">
        <f>"КЕНТI Аксу, 6, 6"</f>
        <v>КЕНТI Аксу, 6, 6</v>
      </c>
      <c r="AC527" t="str">
        <f>"2015-09-01T00:00:00"</f>
        <v>2015-09-01T00:00:00</v>
      </c>
      <c r="AD527" t="str">
        <f>"1"</f>
        <v>1</v>
      </c>
      <c r="AG527" t="s">
        <v>202</v>
      </c>
      <c r="AH527" t="str">
        <f>"ckool007@mail.ru"</f>
        <v>ckool007@mail.ru</v>
      </c>
      <c r="AI527" t="s">
        <v>203</v>
      </c>
      <c r="AJ527" t="s">
        <v>204</v>
      </c>
      <c r="AK527" t="s">
        <v>246</v>
      </c>
      <c r="AL527" t="s">
        <v>206</v>
      </c>
      <c r="AN527" t="s">
        <v>207</v>
      </c>
      <c r="AO527">
        <v>1</v>
      </c>
      <c r="AP527" t="s">
        <v>208</v>
      </c>
      <c r="AQ527" t="s">
        <v>209</v>
      </c>
      <c r="AR527" t="s">
        <v>210</v>
      </c>
      <c r="AW527" t="s">
        <v>206</v>
      </c>
      <c r="AX527" t="s">
        <v>211</v>
      </c>
      <c r="AZ527" t="s">
        <v>209</v>
      </c>
      <c r="BI527" t="s">
        <v>212</v>
      </c>
      <c r="BJ527" t="s">
        <v>213</v>
      </c>
      <c r="BK527" t="s">
        <v>214</v>
      </c>
      <c r="BL527" t="s">
        <v>215</v>
      </c>
      <c r="BN527" t="s">
        <v>247</v>
      </c>
      <c r="BO527" t="s">
        <v>209</v>
      </c>
      <c r="BP527" t="s">
        <v>217</v>
      </c>
      <c r="BQ527" t="s">
        <v>248</v>
      </c>
      <c r="BS527" t="s">
        <v>219</v>
      </c>
      <c r="BT527" t="s">
        <v>220</v>
      </c>
      <c r="BU527" t="s">
        <v>206</v>
      </c>
      <c r="BX527" t="s">
        <v>221</v>
      </c>
      <c r="BY527" t="s">
        <v>221</v>
      </c>
      <c r="CA527" t="s">
        <v>263</v>
      </c>
      <c r="CB527" t="s">
        <v>223</v>
      </c>
      <c r="CC527" t="s">
        <v>209</v>
      </c>
      <c r="CE527" t="s">
        <v>225</v>
      </c>
      <c r="CF527" t="s">
        <v>226</v>
      </c>
      <c r="CG527" t="s">
        <v>227</v>
      </c>
      <c r="CH527" t="s">
        <v>228</v>
      </c>
      <c r="CI527" t="s">
        <v>1550</v>
      </c>
      <c r="CJ527" t="s">
        <v>206</v>
      </c>
      <c r="CK527" t="s">
        <v>230</v>
      </c>
      <c r="CL527" t="s">
        <v>231</v>
      </c>
      <c r="CM527" t="s">
        <v>232</v>
      </c>
      <c r="CN527" t="s">
        <v>233</v>
      </c>
      <c r="CP527" t="s">
        <v>212</v>
      </c>
      <c r="CQ527" t="s">
        <v>212</v>
      </c>
      <c r="CR527" t="s">
        <v>212</v>
      </c>
      <c r="CS527" t="s">
        <v>212</v>
      </c>
      <c r="CY527" t="s">
        <v>212</v>
      </c>
      <c r="DB527" t="s">
        <v>234</v>
      </c>
      <c r="DE527" t="s">
        <v>212</v>
      </c>
      <c r="DF527" t="s">
        <v>212</v>
      </c>
      <c r="DG527" t="s">
        <v>235</v>
      </c>
      <c r="DH527" t="s">
        <v>212</v>
      </c>
      <c r="DJ527" t="s">
        <v>236</v>
      </c>
      <c r="DM527" t="s">
        <v>212</v>
      </c>
    </row>
    <row r="528" spans="1:117" x14ac:dyDescent="0.3">
      <c r="A528">
        <v>351352</v>
      </c>
      <c r="B528">
        <v>317324</v>
      </c>
      <c r="C528" t="str">
        <f>"080712651623"</f>
        <v>080712651623</v>
      </c>
      <c r="D528" t="s">
        <v>1551</v>
      </c>
      <c r="E528" t="s">
        <v>347</v>
      </c>
      <c r="F528" t="s">
        <v>408</v>
      </c>
      <c r="G528" s="1">
        <v>39641</v>
      </c>
      <c r="I528" t="s">
        <v>199</v>
      </c>
      <c r="J528" t="s">
        <v>200</v>
      </c>
      <c r="K528" t="s">
        <v>260</v>
      </c>
      <c r="Q528" t="s">
        <v>212</v>
      </c>
      <c r="R528" t="str">
        <f>"АНДОРРА, АКМОЛИНСКАЯ, СТЕПНОГОРСК, 33, 12"</f>
        <v>АНДОРРА, АКМОЛИНСКАЯ, СТЕПНОГОРСК, 33, 12</v>
      </c>
      <c r="S528" t="str">
        <f>"АНДОРРА, АҚМОЛА, СТЕПНОГОР, 33, 12"</f>
        <v>АНДОРРА, АҚМОЛА, СТЕПНОГОР, 33, 12</v>
      </c>
      <c r="T528" t="str">
        <f>"33, 12"</f>
        <v>33, 12</v>
      </c>
      <c r="U528" t="str">
        <f>"33, 12"</f>
        <v>33, 12</v>
      </c>
      <c r="AC528" t="str">
        <f>"2018-08-29T00:00:00"</f>
        <v>2018-08-29T00:00:00</v>
      </c>
      <c r="AD528" t="str">
        <f>"141"</f>
        <v>141</v>
      </c>
      <c r="AG528" t="s">
        <v>530</v>
      </c>
      <c r="AH528" t="str">
        <f>"ckool007@mail.ru"</f>
        <v>ckool007@mail.ru</v>
      </c>
      <c r="AI528" t="s">
        <v>269</v>
      </c>
      <c r="AJ528" t="s">
        <v>204</v>
      </c>
      <c r="AK528" t="s">
        <v>205</v>
      </c>
      <c r="AL528" t="s">
        <v>206</v>
      </c>
      <c r="AN528" t="s">
        <v>207</v>
      </c>
      <c r="AO528">
        <v>1</v>
      </c>
      <c r="AP528" t="s">
        <v>208</v>
      </c>
      <c r="AQ528" t="s">
        <v>209</v>
      </c>
      <c r="AR528" t="s">
        <v>210</v>
      </c>
      <c r="AW528" t="s">
        <v>206</v>
      </c>
      <c r="AX528" t="s">
        <v>211</v>
      </c>
      <c r="AZ528" t="s">
        <v>209</v>
      </c>
      <c r="BI528" t="s">
        <v>212</v>
      </c>
      <c r="BJ528" t="s">
        <v>213</v>
      </c>
      <c r="BK528" t="s">
        <v>214</v>
      </c>
      <c r="BL528" t="s">
        <v>215</v>
      </c>
      <c r="BN528" t="s">
        <v>281</v>
      </c>
      <c r="BO528" t="s">
        <v>209</v>
      </c>
      <c r="BP528" t="s">
        <v>241</v>
      </c>
      <c r="BQ528">
        <v>5</v>
      </c>
      <c r="BS528" t="s">
        <v>219</v>
      </c>
      <c r="BT528" t="s">
        <v>220</v>
      </c>
      <c r="BU528" t="s">
        <v>206</v>
      </c>
      <c r="BX528" t="s">
        <v>221</v>
      </c>
      <c r="BY528" t="s">
        <v>221</v>
      </c>
      <c r="CA528" t="s">
        <v>287</v>
      </c>
      <c r="CC528" t="s">
        <v>224</v>
      </c>
      <c r="CD528" t="s">
        <v>223</v>
      </c>
      <c r="CE528" t="s">
        <v>242</v>
      </c>
      <c r="CJ528" t="s">
        <v>206</v>
      </c>
      <c r="CK528" t="s">
        <v>230</v>
      </c>
      <c r="CL528" t="s">
        <v>231</v>
      </c>
      <c r="CM528" t="s">
        <v>232</v>
      </c>
      <c r="CN528" t="s">
        <v>233</v>
      </c>
      <c r="CP528" t="s">
        <v>212</v>
      </c>
      <c r="CQ528" t="s">
        <v>212</v>
      </c>
      <c r="CR528" t="s">
        <v>212</v>
      </c>
      <c r="CS528" t="s">
        <v>212</v>
      </c>
      <c r="CY528" t="s">
        <v>212</v>
      </c>
      <c r="DB528" t="s">
        <v>234</v>
      </c>
      <c r="DE528" t="s">
        <v>212</v>
      </c>
      <c r="DF528" t="s">
        <v>212</v>
      </c>
      <c r="DG528" t="s">
        <v>235</v>
      </c>
      <c r="DH528" t="s">
        <v>212</v>
      </c>
      <c r="DJ528" t="s">
        <v>236</v>
      </c>
      <c r="DM528" t="s">
        <v>212</v>
      </c>
    </row>
    <row r="529" spans="1:117" x14ac:dyDescent="0.3">
      <c r="A529">
        <v>351325</v>
      </c>
      <c r="B529">
        <v>317298</v>
      </c>
      <c r="C529" t="str">
        <f>"071124651965"</f>
        <v>071124651965</v>
      </c>
      <c r="D529" t="s">
        <v>1552</v>
      </c>
      <c r="E529" t="s">
        <v>920</v>
      </c>
      <c r="F529" t="s">
        <v>408</v>
      </c>
      <c r="G529" s="1">
        <v>39410</v>
      </c>
      <c r="I529" t="s">
        <v>199</v>
      </c>
      <c r="J529" t="s">
        <v>200</v>
      </c>
      <c r="K529" t="s">
        <v>260</v>
      </c>
      <c r="R529" t="str">
        <f>"АНДОРРА, АКМОЛИНСКАЯ, СТЕПНОГОРСК, 11, 13"</f>
        <v>АНДОРРА, АКМОЛИНСКАЯ, СТЕПНОГОРСК, 11, 13</v>
      </c>
      <c r="S529" t="str">
        <f>"АНДОРРА, АҚМОЛА, СТЕПНОГОР, 11, 13"</f>
        <v>АНДОРРА, АҚМОЛА, СТЕПНОГОР, 11, 13</v>
      </c>
      <c r="T529" t="str">
        <f>"11, 13"</f>
        <v>11, 13</v>
      </c>
      <c r="U529" t="str">
        <f>"11, 13"</f>
        <v>11, 13</v>
      </c>
      <c r="AC529" t="str">
        <f>"2015-09-01T00:00:00"</f>
        <v>2015-09-01T00:00:00</v>
      </c>
      <c r="AD529" t="str">
        <f>"1"</f>
        <v>1</v>
      </c>
      <c r="AG529" t="s">
        <v>202</v>
      </c>
      <c r="AH529" t="str">
        <f>"ckool007@mail.ru"</f>
        <v>ckool007@mail.ru</v>
      </c>
      <c r="AI529" t="s">
        <v>203</v>
      </c>
      <c r="AJ529" t="s">
        <v>204</v>
      </c>
      <c r="AK529" t="s">
        <v>261</v>
      </c>
      <c r="AL529" t="s">
        <v>206</v>
      </c>
      <c r="AN529" t="s">
        <v>207</v>
      </c>
      <c r="AO529">
        <v>1</v>
      </c>
      <c r="AP529" t="s">
        <v>208</v>
      </c>
      <c r="AQ529" t="s">
        <v>209</v>
      </c>
      <c r="AR529" t="s">
        <v>307</v>
      </c>
      <c r="AW529" t="s">
        <v>206</v>
      </c>
      <c r="AX529" t="s">
        <v>211</v>
      </c>
      <c r="AZ529" t="s">
        <v>209</v>
      </c>
      <c r="BI529" t="s">
        <v>212</v>
      </c>
      <c r="BJ529" t="s">
        <v>213</v>
      </c>
      <c r="BK529" t="s">
        <v>214</v>
      </c>
      <c r="BL529" t="s">
        <v>215</v>
      </c>
      <c r="BN529" t="s">
        <v>216</v>
      </c>
      <c r="BO529" t="s">
        <v>209</v>
      </c>
      <c r="BP529" t="s">
        <v>241</v>
      </c>
      <c r="BQ529">
        <v>4</v>
      </c>
      <c r="BS529" t="s">
        <v>219</v>
      </c>
      <c r="BT529" t="s">
        <v>220</v>
      </c>
      <c r="BU529" t="s">
        <v>206</v>
      </c>
      <c r="BX529" t="s">
        <v>221</v>
      </c>
      <c r="BY529" t="s">
        <v>221</v>
      </c>
      <c r="CA529" t="s">
        <v>263</v>
      </c>
      <c r="CB529" t="s">
        <v>223</v>
      </c>
      <c r="CC529" t="s">
        <v>209</v>
      </c>
      <c r="CE529" t="s">
        <v>242</v>
      </c>
      <c r="CJ529" t="s">
        <v>206</v>
      </c>
      <c r="CK529" t="s">
        <v>230</v>
      </c>
      <c r="CL529" t="s">
        <v>231</v>
      </c>
      <c r="CM529" t="s">
        <v>232</v>
      </c>
      <c r="CN529" t="s">
        <v>233</v>
      </c>
      <c r="CP529" t="s">
        <v>212</v>
      </c>
      <c r="CQ529" t="s">
        <v>212</v>
      </c>
      <c r="CR529" t="s">
        <v>212</v>
      </c>
      <c r="CS529" t="s">
        <v>212</v>
      </c>
      <c r="CY529" t="s">
        <v>212</v>
      </c>
      <c r="DB529" t="s">
        <v>234</v>
      </c>
      <c r="DE529" t="s">
        <v>212</v>
      </c>
      <c r="DF529" t="s">
        <v>212</v>
      </c>
      <c r="DG529" t="s">
        <v>235</v>
      </c>
      <c r="DH529" t="s">
        <v>212</v>
      </c>
      <c r="DJ529" t="s">
        <v>236</v>
      </c>
      <c r="DM529" t="s">
        <v>212</v>
      </c>
    </row>
    <row r="530" spans="1:117" x14ac:dyDescent="0.3">
      <c r="A530">
        <v>351293</v>
      </c>
      <c r="B530">
        <v>317277</v>
      </c>
      <c r="C530" t="str">
        <f>"120322500820"</f>
        <v>120322500820</v>
      </c>
      <c r="D530" t="s">
        <v>1553</v>
      </c>
      <c r="E530" t="s">
        <v>941</v>
      </c>
      <c r="F530" t="s">
        <v>1045</v>
      </c>
      <c r="G530" s="1">
        <v>40990</v>
      </c>
      <c r="I530" t="s">
        <v>240</v>
      </c>
      <c r="J530" t="s">
        <v>200</v>
      </c>
      <c r="K530" t="s">
        <v>260</v>
      </c>
      <c r="R530" t="str">
        <f>"КАЗАХСТАН, АКМОЛИНСКАЯ, СТЕПНОГОРСК, 42, 17"</f>
        <v>КАЗАХСТАН, АКМОЛИНСКАЯ, СТЕПНОГОРСК, 42, 17</v>
      </c>
      <c r="S530" t="str">
        <f>"ҚАЗАҚСТАН, АҚМОЛА, СТЕПНОГОР, 42, 17"</f>
        <v>ҚАЗАҚСТАН, АҚМОЛА, СТЕПНОГОР, 42, 17</v>
      </c>
      <c r="T530" t="str">
        <f>"42, 17"</f>
        <v>42, 17</v>
      </c>
      <c r="U530" t="str">
        <f>"42, 17"</f>
        <v>42, 17</v>
      </c>
      <c r="AC530" t="str">
        <f>"2018-08-29T00:00:00"</f>
        <v>2018-08-29T00:00:00</v>
      </c>
      <c r="AD530" t="str">
        <f>"140"</f>
        <v>140</v>
      </c>
      <c r="AG530" t="s">
        <v>202</v>
      </c>
      <c r="AI530" t="s">
        <v>203</v>
      </c>
      <c r="AJ530" t="s">
        <v>348</v>
      </c>
      <c r="AK530" t="s">
        <v>205</v>
      </c>
      <c r="AL530" t="s">
        <v>206</v>
      </c>
      <c r="AN530" t="s">
        <v>207</v>
      </c>
      <c r="AO530">
        <v>1</v>
      </c>
      <c r="AP530" t="s">
        <v>208</v>
      </c>
      <c r="AQ530" t="s">
        <v>209</v>
      </c>
      <c r="AR530" t="s">
        <v>307</v>
      </c>
      <c r="AW530" t="s">
        <v>206</v>
      </c>
      <c r="AX530" t="s">
        <v>211</v>
      </c>
      <c r="AZ530" t="s">
        <v>209</v>
      </c>
      <c r="BI530" t="s">
        <v>212</v>
      </c>
      <c r="BJ530" t="s">
        <v>213</v>
      </c>
      <c r="BK530" t="s">
        <v>214</v>
      </c>
      <c r="BL530" t="s">
        <v>215</v>
      </c>
      <c r="BN530" t="s">
        <v>247</v>
      </c>
      <c r="BO530" t="s">
        <v>209</v>
      </c>
      <c r="BP530" t="s">
        <v>241</v>
      </c>
      <c r="BQ530">
        <v>3</v>
      </c>
      <c r="BS530" t="s">
        <v>219</v>
      </c>
      <c r="BT530" t="s">
        <v>220</v>
      </c>
      <c r="BU530" t="s">
        <v>206</v>
      </c>
      <c r="BX530" t="s">
        <v>221</v>
      </c>
      <c r="BY530" t="s">
        <v>221</v>
      </c>
      <c r="CA530" t="s">
        <v>222</v>
      </c>
      <c r="CB530" t="s">
        <v>223</v>
      </c>
      <c r="CC530" t="s">
        <v>222</v>
      </c>
      <c r="CD530" t="s">
        <v>223</v>
      </c>
      <c r="CE530" t="s">
        <v>242</v>
      </c>
      <c r="CJ530" t="s">
        <v>206</v>
      </c>
      <c r="CK530" t="s">
        <v>230</v>
      </c>
      <c r="CL530" t="s">
        <v>231</v>
      </c>
      <c r="CM530" t="s">
        <v>232</v>
      </c>
      <c r="CN530" t="s">
        <v>233</v>
      </c>
      <c r="CP530" t="s">
        <v>212</v>
      </c>
      <c r="CQ530" t="s">
        <v>212</v>
      </c>
      <c r="CR530" t="s">
        <v>212</v>
      </c>
      <c r="CS530" t="s">
        <v>212</v>
      </c>
      <c r="CY530" t="s">
        <v>212</v>
      </c>
      <c r="DB530" t="s">
        <v>234</v>
      </c>
      <c r="DE530" t="s">
        <v>212</v>
      </c>
      <c r="DF530" t="s">
        <v>212</v>
      </c>
      <c r="DG530" t="s">
        <v>235</v>
      </c>
      <c r="DH530" t="s">
        <v>212</v>
      </c>
      <c r="DJ530" t="s">
        <v>236</v>
      </c>
      <c r="DM530" t="s">
        <v>212</v>
      </c>
    </row>
    <row r="531" spans="1:117" x14ac:dyDescent="0.3">
      <c r="A531">
        <v>351271</v>
      </c>
      <c r="B531">
        <v>317256</v>
      </c>
      <c r="C531" t="str">
        <f>"080226554461"</f>
        <v>080226554461</v>
      </c>
      <c r="D531" t="s">
        <v>1434</v>
      </c>
      <c r="E531" t="s">
        <v>1554</v>
      </c>
      <c r="F531" t="s">
        <v>1555</v>
      </c>
      <c r="G531" s="1">
        <v>39504</v>
      </c>
      <c r="I531" t="s">
        <v>240</v>
      </c>
      <c r="J531" t="s">
        <v>200</v>
      </c>
      <c r="K531" t="s">
        <v>201</v>
      </c>
      <c r="R531" t="str">
        <f>"АНДОРРА, АКМОЛИНСКАЯ, СТЕПНОГОРСК, 37"</f>
        <v>АНДОРРА, АКМОЛИНСКАЯ, СТЕПНОГОРСК, 37</v>
      </c>
      <c r="S531" t="str">
        <f>"АНДОРРА, АҚМОЛА, СТЕПНОГОР, 37"</f>
        <v>АНДОРРА, АҚМОЛА, СТЕПНОГОР, 37</v>
      </c>
      <c r="T531" t="str">
        <f>"37"</f>
        <v>37</v>
      </c>
      <c r="U531" t="str">
        <f>"37"</f>
        <v>37</v>
      </c>
      <c r="AC531" t="str">
        <f>"2015-09-01T00:00:00"</f>
        <v>2015-09-01T00:00:00</v>
      </c>
      <c r="AD531" t="str">
        <f t="shared" ref="AD531:AD546" si="17">"1"</f>
        <v>1</v>
      </c>
      <c r="AE531" t="str">
        <f>"2023-09-01T01:18:06"</f>
        <v>2023-09-01T01:18:06</v>
      </c>
      <c r="AF531" t="str">
        <f>"2024-05-25T01:18:06"</f>
        <v>2024-05-25T01:18:06</v>
      </c>
      <c r="AG531" t="s">
        <v>202</v>
      </c>
      <c r="AH531" t="str">
        <f t="shared" ref="AH531:AH538" si="18">"ckool007@mail.ru"</f>
        <v>ckool007@mail.ru</v>
      </c>
      <c r="AI531" t="s">
        <v>203</v>
      </c>
      <c r="AJ531" t="s">
        <v>204</v>
      </c>
      <c r="AK531" t="s">
        <v>246</v>
      </c>
      <c r="AL531" t="s">
        <v>206</v>
      </c>
      <c r="AN531" t="s">
        <v>207</v>
      </c>
      <c r="AO531">
        <v>1</v>
      </c>
      <c r="AP531" t="s">
        <v>208</v>
      </c>
      <c r="AQ531" t="s">
        <v>209</v>
      </c>
      <c r="AR531" t="s">
        <v>210</v>
      </c>
      <c r="AW531" t="s">
        <v>206</v>
      </c>
      <c r="AX531" t="s">
        <v>211</v>
      </c>
      <c r="AZ531" t="s">
        <v>209</v>
      </c>
      <c r="BI531" t="s">
        <v>212</v>
      </c>
      <c r="BJ531" t="s">
        <v>213</v>
      </c>
      <c r="BK531" t="s">
        <v>214</v>
      </c>
      <c r="BL531" t="s">
        <v>215</v>
      </c>
      <c r="BN531" t="s">
        <v>247</v>
      </c>
      <c r="BO531" t="s">
        <v>209</v>
      </c>
      <c r="BP531" t="s">
        <v>241</v>
      </c>
      <c r="BQ531">
        <v>3</v>
      </c>
      <c r="BS531" t="s">
        <v>219</v>
      </c>
      <c r="BT531" t="s">
        <v>220</v>
      </c>
      <c r="BU531" t="s">
        <v>206</v>
      </c>
      <c r="BX531" t="s">
        <v>221</v>
      </c>
      <c r="BY531" t="s">
        <v>221</v>
      </c>
      <c r="CA531" t="s">
        <v>365</v>
      </c>
      <c r="CB531" t="s">
        <v>223</v>
      </c>
      <c r="CC531" t="s">
        <v>209</v>
      </c>
      <c r="CE531" t="s">
        <v>242</v>
      </c>
      <c r="CJ531" t="s">
        <v>206</v>
      </c>
      <c r="CK531" t="s">
        <v>230</v>
      </c>
      <c r="CL531" t="s">
        <v>231</v>
      </c>
      <c r="CM531" t="s">
        <v>232</v>
      </c>
      <c r="CN531" t="s">
        <v>233</v>
      </c>
      <c r="CP531" t="s">
        <v>212</v>
      </c>
      <c r="CQ531" t="s">
        <v>212</v>
      </c>
      <c r="CR531" t="s">
        <v>212</v>
      </c>
      <c r="CS531" t="s">
        <v>212</v>
      </c>
      <c r="CY531" t="s">
        <v>212</v>
      </c>
      <c r="DB531" t="s">
        <v>234</v>
      </c>
      <c r="DE531" t="s">
        <v>212</v>
      </c>
      <c r="DF531" t="s">
        <v>212</v>
      </c>
      <c r="DG531" t="s">
        <v>235</v>
      </c>
      <c r="DH531" t="s">
        <v>212</v>
      </c>
      <c r="DJ531" t="s">
        <v>236</v>
      </c>
      <c r="DM531" t="s">
        <v>206</v>
      </c>
    </row>
    <row r="532" spans="1:117" x14ac:dyDescent="0.3">
      <c r="A532">
        <v>351217</v>
      </c>
      <c r="B532">
        <v>317205</v>
      </c>
      <c r="C532" t="str">
        <f>"080725654778"</f>
        <v>080725654778</v>
      </c>
      <c r="D532" t="s">
        <v>1556</v>
      </c>
      <c r="E532" t="s">
        <v>677</v>
      </c>
      <c r="F532" t="s">
        <v>1557</v>
      </c>
      <c r="G532" s="1">
        <v>39654</v>
      </c>
      <c r="I532" t="s">
        <v>199</v>
      </c>
      <c r="J532" t="s">
        <v>200</v>
      </c>
      <c r="K532" t="s">
        <v>201</v>
      </c>
      <c r="Q532" t="s">
        <v>212</v>
      </c>
      <c r="R532" t="str">
        <f>"АНДОРРА, АКМОЛИНСКАЯ, СТЕПНОГОРСК, 29, 513"</f>
        <v>АНДОРРА, АКМОЛИНСКАЯ, СТЕПНОГОРСК, 29, 513</v>
      </c>
      <c r="S532" t="str">
        <f>"АНДОРРА, АҚМОЛА, СТЕПНОГОР, 29, 513"</f>
        <v>АНДОРРА, АҚМОЛА, СТЕПНОГОР, 29, 513</v>
      </c>
      <c r="T532" t="str">
        <f>"29, 513"</f>
        <v>29, 513</v>
      </c>
      <c r="U532" t="str">
        <f>"29, 513"</f>
        <v>29, 513</v>
      </c>
      <c r="AC532" t="str">
        <f>"2014-09-01T00:00:00"</f>
        <v>2014-09-01T00:00:00</v>
      </c>
      <c r="AD532" t="str">
        <f t="shared" si="17"/>
        <v>1</v>
      </c>
      <c r="AG532" t="s">
        <v>202</v>
      </c>
      <c r="AH532" t="str">
        <f t="shared" si="18"/>
        <v>ckool007@mail.ru</v>
      </c>
      <c r="AI532" t="s">
        <v>203</v>
      </c>
      <c r="AJ532" t="s">
        <v>204</v>
      </c>
      <c r="AK532" t="s">
        <v>205</v>
      </c>
      <c r="AL532" t="s">
        <v>206</v>
      </c>
      <c r="AN532" t="s">
        <v>207</v>
      </c>
      <c r="AO532">
        <v>1</v>
      </c>
      <c r="AP532" t="s">
        <v>208</v>
      </c>
      <c r="AQ532" t="s">
        <v>209</v>
      </c>
      <c r="AR532" t="s">
        <v>307</v>
      </c>
      <c r="AW532" t="s">
        <v>206</v>
      </c>
      <c r="AX532" t="s">
        <v>211</v>
      </c>
      <c r="AZ532" t="s">
        <v>209</v>
      </c>
      <c r="BI532" t="s">
        <v>212</v>
      </c>
      <c r="BJ532" t="s">
        <v>213</v>
      </c>
      <c r="BK532" t="s">
        <v>214</v>
      </c>
      <c r="BL532" t="s">
        <v>215</v>
      </c>
      <c r="BN532" t="s">
        <v>247</v>
      </c>
      <c r="BO532" t="s">
        <v>209</v>
      </c>
      <c r="BP532" t="s">
        <v>217</v>
      </c>
      <c r="BQ532" t="s">
        <v>270</v>
      </c>
      <c r="BS532" t="s">
        <v>219</v>
      </c>
      <c r="BT532" t="s">
        <v>220</v>
      </c>
      <c r="BU532" t="s">
        <v>206</v>
      </c>
      <c r="BX532" t="s">
        <v>221</v>
      </c>
      <c r="BY532" t="s">
        <v>221</v>
      </c>
      <c r="CA532" t="s">
        <v>287</v>
      </c>
      <c r="CC532" t="s">
        <v>209</v>
      </c>
      <c r="CE532" t="s">
        <v>242</v>
      </c>
      <c r="CJ532" t="s">
        <v>206</v>
      </c>
      <c r="CK532" t="s">
        <v>230</v>
      </c>
      <c r="CL532" t="s">
        <v>231</v>
      </c>
      <c r="CM532" t="s">
        <v>232</v>
      </c>
      <c r="CN532" t="s">
        <v>233</v>
      </c>
      <c r="CP532" t="s">
        <v>212</v>
      </c>
      <c r="CQ532" t="s">
        <v>212</v>
      </c>
      <c r="CR532" t="s">
        <v>212</v>
      </c>
      <c r="CS532" t="s">
        <v>212</v>
      </c>
      <c r="CY532" t="s">
        <v>212</v>
      </c>
      <c r="DB532" t="s">
        <v>234</v>
      </c>
      <c r="DE532" t="s">
        <v>212</v>
      </c>
      <c r="DF532" t="s">
        <v>212</v>
      </c>
      <c r="DG532" t="s">
        <v>235</v>
      </c>
      <c r="DH532" t="s">
        <v>212</v>
      </c>
      <c r="DJ532" t="s">
        <v>236</v>
      </c>
      <c r="DM532" t="s">
        <v>212</v>
      </c>
    </row>
    <row r="533" spans="1:117" x14ac:dyDescent="0.3">
      <c r="A533">
        <v>351121</v>
      </c>
      <c r="B533">
        <v>317118</v>
      </c>
      <c r="C533" t="str">
        <f>"071205553482"</f>
        <v>071205553482</v>
      </c>
      <c r="D533" t="s">
        <v>1558</v>
      </c>
      <c r="E533" t="s">
        <v>1559</v>
      </c>
      <c r="F533" t="s">
        <v>1560</v>
      </c>
      <c r="G533" s="1">
        <v>39421</v>
      </c>
      <c r="I533" t="s">
        <v>240</v>
      </c>
      <c r="J533" t="s">
        <v>200</v>
      </c>
      <c r="K533" t="s">
        <v>201</v>
      </c>
      <c r="R533" t="str">
        <f>"АНДОРРА, АКМОЛИНСКАЯ, СТЕПНОГОРСК, 12, 19"</f>
        <v>АНДОРРА, АКМОЛИНСКАЯ, СТЕПНОГОРСК, 12, 19</v>
      </c>
      <c r="S533" t="str">
        <f>"АНДОРРА, АҚМОЛА, СТЕПНОГОР, 12, 19"</f>
        <v>АНДОРРА, АҚМОЛА, СТЕПНОГОР, 12, 19</v>
      </c>
      <c r="T533" t="str">
        <f>"12, 19"</f>
        <v>12, 19</v>
      </c>
      <c r="U533" t="str">
        <f>"12, 19"</f>
        <v>12, 19</v>
      </c>
      <c r="AC533" t="str">
        <f>"2015-09-01T00:00:00"</f>
        <v>2015-09-01T00:00:00</v>
      </c>
      <c r="AD533" t="str">
        <f t="shared" si="17"/>
        <v>1</v>
      </c>
      <c r="AG533" t="s">
        <v>202</v>
      </c>
      <c r="AH533" t="str">
        <f t="shared" si="18"/>
        <v>ckool007@mail.ru</v>
      </c>
      <c r="AI533" t="s">
        <v>203</v>
      </c>
      <c r="AJ533" t="s">
        <v>204</v>
      </c>
      <c r="AK533" t="s">
        <v>253</v>
      </c>
      <c r="AL533" t="s">
        <v>206</v>
      </c>
      <c r="AN533" t="s">
        <v>254</v>
      </c>
      <c r="AO533">
        <v>1</v>
      </c>
      <c r="AP533" t="s">
        <v>208</v>
      </c>
      <c r="AQ533" t="s">
        <v>209</v>
      </c>
      <c r="AR533" t="s">
        <v>210</v>
      </c>
      <c r="AW533" t="s">
        <v>206</v>
      </c>
      <c r="AX533" t="s">
        <v>211</v>
      </c>
      <c r="AZ533" t="s">
        <v>209</v>
      </c>
      <c r="BI533" t="s">
        <v>212</v>
      </c>
      <c r="BJ533" t="s">
        <v>213</v>
      </c>
      <c r="BK533" t="s">
        <v>214</v>
      </c>
      <c r="BL533" t="s">
        <v>215</v>
      </c>
      <c r="BN533" t="s">
        <v>247</v>
      </c>
      <c r="BO533" t="s">
        <v>209</v>
      </c>
      <c r="BP533" t="s">
        <v>241</v>
      </c>
      <c r="BQ533">
        <v>3</v>
      </c>
      <c r="BS533" t="s">
        <v>219</v>
      </c>
      <c r="BT533" t="s">
        <v>220</v>
      </c>
      <c r="BU533" t="s">
        <v>206</v>
      </c>
      <c r="BX533" t="s">
        <v>221</v>
      </c>
      <c r="BY533" t="s">
        <v>221</v>
      </c>
      <c r="CA533" t="s">
        <v>222</v>
      </c>
      <c r="CB533" t="s">
        <v>223</v>
      </c>
      <c r="CC533" t="s">
        <v>404</v>
      </c>
      <c r="CD533" t="s">
        <v>223</v>
      </c>
      <c r="CE533" t="s">
        <v>242</v>
      </c>
      <c r="CJ533" t="s">
        <v>206</v>
      </c>
      <c r="CK533" t="s">
        <v>230</v>
      </c>
      <c r="CL533" t="s">
        <v>231</v>
      </c>
      <c r="CM533" t="s">
        <v>232</v>
      </c>
      <c r="CN533" t="s">
        <v>233</v>
      </c>
      <c r="CP533" t="s">
        <v>212</v>
      </c>
      <c r="CQ533" t="s">
        <v>212</v>
      </c>
      <c r="CR533" t="s">
        <v>212</v>
      </c>
      <c r="CS533" t="s">
        <v>212</v>
      </c>
      <c r="CY533" t="s">
        <v>212</v>
      </c>
      <c r="DB533" t="s">
        <v>234</v>
      </c>
      <c r="DE533" t="s">
        <v>212</v>
      </c>
      <c r="DF533" t="s">
        <v>212</v>
      </c>
      <c r="DG533" t="s">
        <v>235</v>
      </c>
      <c r="DH533" t="s">
        <v>212</v>
      </c>
      <c r="DJ533" t="s">
        <v>236</v>
      </c>
      <c r="DM533" t="s">
        <v>212</v>
      </c>
    </row>
    <row r="534" spans="1:117" x14ac:dyDescent="0.3">
      <c r="A534">
        <v>351091</v>
      </c>
      <c r="B534">
        <v>317092</v>
      </c>
      <c r="C534" t="str">
        <f>"081006652021"</f>
        <v>081006652021</v>
      </c>
      <c r="D534" t="s">
        <v>1561</v>
      </c>
      <c r="E534" t="s">
        <v>1562</v>
      </c>
      <c r="F534" t="s">
        <v>1563</v>
      </c>
      <c r="G534" s="1">
        <v>39727</v>
      </c>
      <c r="I534" t="s">
        <v>199</v>
      </c>
      <c r="J534" t="s">
        <v>200</v>
      </c>
      <c r="K534" t="s">
        <v>201</v>
      </c>
      <c r="R534" t="str">
        <f>"АНДОРРА, АКМОЛИНСКАЯ, СТЕПНОГОРСК, 87, 69"</f>
        <v>АНДОРРА, АКМОЛИНСКАЯ, СТЕПНОГОРСК, 87, 69</v>
      </c>
      <c r="S534" t="str">
        <f>"АНДОРРА, АҚМОЛА, СТЕПНОГОР, 87, 69"</f>
        <v>АНДОРРА, АҚМОЛА, СТЕПНОГОР, 87, 69</v>
      </c>
      <c r="T534" t="str">
        <f>"87, 69"</f>
        <v>87, 69</v>
      </c>
      <c r="U534" t="str">
        <f>"87, 69"</f>
        <v>87, 69</v>
      </c>
      <c r="AC534" t="str">
        <f>"2015-09-01T00:00:00"</f>
        <v>2015-09-01T00:00:00</v>
      </c>
      <c r="AD534" t="str">
        <f t="shared" si="17"/>
        <v>1</v>
      </c>
      <c r="AG534" t="s">
        <v>202</v>
      </c>
      <c r="AH534" t="str">
        <f t="shared" si="18"/>
        <v>ckool007@mail.ru</v>
      </c>
      <c r="AI534" t="s">
        <v>203</v>
      </c>
      <c r="AJ534" t="s">
        <v>204</v>
      </c>
      <c r="AK534" t="s">
        <v>253</v>
      </c>
      <c r="AL534" t="s">
        <v>206</v>
      </c>
      <c r="AN534" t="s">
        <v>254</v>
      </c>
      <c r="AO534">
        <v>1</v>
      </c>
      <c r="AP534" t="s">
        <v>208</v>
      </c>
      <c r="AQ534" t="s">
        <v>209</v>
      </c>
      <c r="AR534" t="s">
        <v>210</v>
      </c>
      <c r="AW534" t="s">
        <v>206</v>
      </c>
      <c r="AX534" t="s">
        <v>211</v>
      </c>
      <c r="AZ534" t="s">
        <v>209</v>
      </c>
      <c r="BI534" t="s">
        <v>212</v>
      </c>
      <c r="BJ534" t="s">
        <v>213</v>
      </c>
      <c r="BK534" t="s">
        <v>214</v>
      </c>
      <c r="BL534" t="s">
        <v>215</v>
      </c>
      <c r="BN534" t="s">
        <v>216</v>
      </c>
      <c r="BO534" t="s">
        <v>209</v>
      </c>
      <c r="BP534" t="s">
        <v>217</v>
      </c>
      <c r="BQ534" t="s">
        <v>465</v>
      </c>
      <c r="BS534" t="s">
        <v>219</v>
      </c>
      <c r="BT534" t="s">
        <v>220</v>
      </c>
      <c r="BU534" t="s">
        <v>206</v>
      </c>
      <c r="BX534" t="s">
        <v>221</v>
      </c>
      <c r="BY534" t="s">
        <v>221</v>
      </c>
      <c r="CA534" t="s">
        <v>287</v>
      </c>
      <c r="CC534" t="s">
        <v>334</v>
      </c>
      <c r="CD534" t="s">
        <v>223</v>
      </c>
      <c r="CE534" t="s">
        <v>242</v>
      </c>
      <c r="CJ534" t="s">
        <v>206</v>
      </c>
      <c r="CK534" t="s">
        <v>230</v>
      </c>
      <c r="CL534" t="s">
        <v>231</v>
      </c>
      <c r="CM534" t="s">
        <v>232</v>
      </c>
      <c r="CN534" t="s">
        <v>233</v>
      </c>
      <c r="CP534" t="s">
        <v>212</v>
      </c>
      <c r="CQ534" t="s">
        <v>212</v>
      </c>
      <c r="CR534" t="s">
        <v>212</v>
      </c>
      <c r="CS534" t="s">
        <v>212</v>
      </c>
      <c r="CY534" t="s">
        <v>212</v>
      </c>
      <c r="DB534" t="s">
        <v>234</v>
      </c>
      <c r="DE534" t="s">
        <v>212</v>
      </c>
      <c r="DF534" t="s">
        <v>212</v>
      </c>
      <c r="DG534" t="s">
        <v>235</v>
      </c>
      <c r="DH534" t="s">
        <v>212</v>
      </c>
      <c r="DJ534" t="s">
        <v>236</v>
      </c>
      <c r="DM534" t="s">
        <v>212</v>
      </c>
    </row>
    <row r="535" spans="1:117" x14ac:dyDescent="0.3">
      <c r="A535">
        <v>351068</v>
      </c>
      <c r="B535">
        <v>317066</v>
      </c>
      <c r="C535" t="str">
        <f>"080331555034"</f>
        <v>080331555034</v>
      </c>
      <c r="D535" t="s">
        <v>424</v>
      </c>
      <c r="E535" t="s">
        <v>669</v>
      </c>
      <c r="F535" t="s">
        <v>426</v>
      </c>
      <c r="G535" s="1">
        <v>39538</v>
      </c>
      <c r="I535" t="s">
        <v>240</v>
      </c>
      <c r="J535" t="s">
        <v>200</v>
      </c>
      <c r="K535" t="s">
        <v>201</v>
      </c>
      <c r="R535" t="str">
        <f>"АНДОРРА, АКМОЛИНСКАЯ, СТЕПНОГОРСК, 67, 90"</f>
        <v>АНДОРРА, АКМОЛИНСКАЯ, СТЕПНОГОРСК, 67, 90</v>
      </c>
      <c r="S535" t="str">
        <f>"АНДОРРА, АҚМОЛА, СТЕПНОГОР, 67, 90"</f>
        <v>АНДОРРА, АҚМОЛА, СТЕПНОГОР, 67, 90</v>
      </c>
      <c r="T535" t="str">
        <f>"67, 90"</f>
        <v>67, 90</v>
      </c>
      <c r="U535" t="str">
        <f>"67, 90"</f>
        <v>67, 90</v>
      </c>
      <c r="AC535" t="str">
        <f>"2014-09-01T00:00:00"</f>
        <v>2014-09-01T00:00:00</v>
      </c>
      <c r="AD535" t="str">
        <f t="shared" si="17"/>
        <v>1</v>
      </c>
      <c r="AG535" t="s">
        <v>202</v>
      </c>
      <c r="AH535" t="str">
        <f t="shared" si="18"/>
        <v>ckool007@mail.ru</v>
      </c>
      <c r="AI535" t="s">
        <v>203</v>
      </c>
      <c r="AJ535" t="s">
        <v>204</v>
      </c>
      <c r="AK535" t="s">
        <v>253</v>
      </c>
      <c r="AL535" t="s">
        <v>206</v>
      </c>
      <c r="AN535" t="s">
        <v>254</v>
      </c>
      <c r="AO535">
        <v>1</v>
      </c>
      <c r="AP535" t="s">
        <v>208</v>
      </c>
      <c r="AQ535" t="s">
        <v>209</v>
      </c>
      <c r="AR535" t="s">
        <v>210</v>
      </c>
      <c r="AW535" t="s">
        <v>206</v>
      </c>
      <c r="AX535" t="s">
        <v>211</v>
      </c>
      <c r="AZ535" t="s">
        <v>209</v>
      </c>
      <c r="BI535" t="s">
        <v>212</v>
      </c>
      <c r="BJ535" t="s">
        <v>213</v>
      </c>
      <c r="BK535" t="s">
        <v>214</v>
      </c>
      <c r="BL535" t="s">
        <v>357</v>
      </c>
      <c r="BN535" t="s">
        <v>247</v>
      </c>
      <c r="BO535" t="s">
        <v>209</v>
      </c>
      <c r="BP535" t="s">
        <v>241</v>
      </c>
      <c r="BQ535">
        <v>3</v>
      </c>
      <c r="BS535" t="s">
        <v>219</v>
      </c>
      <c r="BT535" t="s">
        <v>220</v>
      </c>
      <c r="BU535" t="s">
        <v>206</v>
      </c>
      <c r="BX535" t="s">
        <v>221</v>
      </c>
      <c r="BY535" t="s">
        <v>221</v>
      </c>
      <c r="CA535" t="s">
        <v>338</v>
      </c>
      <c r="CB535" t="s">
        <v>223</v>
      </c>
      <c r="CC535" t="s">
        <v>209</v>
      </c>
      <c r="CE535" t="s">
        <v>242</v>
      </c>
      <c r="CJ535" t="s">
        <v>206</v>
      </c>
      <c r="CK535" t="s">
        <v>230</v>
      </c>
      <c r="CL535" t="s">
        <v>231</v>
      </c>
      <c r="CM535" t="s">
        <v>232</v>
      </c>
      <c r="CN535" t="s">
        <v>233</v>
      </c>
      <c r="CP535" t="s">
        <v>212</v>
      </c>
      <c r="CQ535" t="s">
        <v>212</v>
      </c>
      <c r="CR535" t="s">
        <v>212</v>
      </c>
      <c r="CS535" t="s">
        <v>212</v>
      </c>
      <c r="CY535" t="s">
        <v>212</v>
      </c>
      <c r="DB535" t="s">
        <v>234</v>
      </c>
      <c r="DE535" t="s">
        <v>212</v>
      </c>
      <c r="DF535" t="s">
        <v>212</v>
      </c>
      <c r="DG535" t="s">
        <v>235</v>
      </c>
      <c r="DH535" t="s">
        <v>212</v>
      </c>
      <c r="DJ535" t="s">
        <v>236</v>
      </c>
      <c r="DM535" t="s">
        <v>206</v>
      </c>
    </row>
    <row r="536" spans="1:117" x14ac:dyDescent="0.3">
      <c r="A536">
        <v>350957</v>
      </c>
      <c r="B536">
        <v>316964</v>
      </c>
      <c r="C536" t="str">
        <f>"080518554373"</f>
        <v>080518554373</v>
      </c>
      <c r="D536" t="s">
        <v>454</v>
      </c>
      <c r="E536" t="s">
        <v>1564</v>
      </c>
      <c r="F536" t="s">
        <v>456</v>
      </c>
      <c r="G536" s="1">
        <v>39586</v>
      </c>
      <c r="I536" t="s">
        <v>240</v>
      </c>
      <c r="J536" t="s">
        <v>200</v>
      </c>
      <c r="K536" t="s">
        <v>201</v>
      </c>
      <c r="R536" t="str">
        <f>"АНДОРРА, АКМОЛИНСКАЯ, СТЕПНОГОРСК, 11, 104"</f>
        <v>АНДОРРА, АКМОЛИНСКАЯ, СТЕПНОГОРСК, 11, 104</v>
      </c>
      <c r="S536" t="str">
        <f>"АНДОРРА, АҚМОЛА, СТЕПНОГОР, 11, 104"</f>
        <v>АНДОРРА, АҚМОЛА, СТЕПНОГОР, 11, 104</v>
      </c>
      <c r="T536" t="str">
        <f>"11, 104"</f>
        <v>11, 104</v>
      </c>
      <c r="U536" t="str">
        <f>"11, 104"</f>
        <v>11, 104</v>
      </c>
      <c r="AC536" t="str">
        <f>"2015-09-01T00:00:00"</f>
        <v>2015-09-01T00:00:00</v>
      </c>
      <c r="AD536" t="str">
        <f t="shared" si="17"/>
        <v>1</v>
      </c>
      <c r="AG536" t="s">
        <v>202</v>
      </c>
      <c r="AH536" t="str">
        <f t="shared" si="18"/>
        <v>ckool007@mail.ru</v>
      </c>
      <c r="AI536" t="s">
        <v>203</v>
      </c>
      <c r="AJ536" t="s">
        <v>204</v>
      </c>
      <c r="AK536" t="s">
        <v>253</v>
      </c>
      <c r="AL536" t="s">
        <v>206</v>
      </c>
      <c r="AN536" t="s">
        <v>254</v>
      </c>
      <c r="AO536">
        <v>1</v>
      </c>
      <c r="AP536" t="s">
        <v>208</v>
      </c>
      <c r="AQ536" t="s">
        <v>209</v>
      </c>
      <c r="AR536" t="s">
        <v>210</v>
      </c>
      <c r="AW536" t="s">
        <v>206</v>
      </c>
      <c r="AX536" t="s">
        <v>211</v>
      </c>
      <c r="AZ536" t="s">
        <v>209</v>
      </c>
      <c r="BI536" t="s">
        <v>212</v>
      </c>
      <c r="BJ536" t="s">
        <v>213</v>
      </c>
      <c r="BK536" t="s">
        <v>214</v>
      </c>
      <c r="BL536" t="s">
        <v>215</v>
      </c>
      <c r="BN536" t="s">
        <v>247</v>
      </c>
      <c r="BO536" t="s">
        <v>209</v>
      </c>
      <c r="BP536" t="s">
        <v>241</v>
      </c>
      <c r="BQ536">
        <v>3</v>
      </c>
      <c r="BS536" t="s">
        <v>219</v>
      </c>
      <c r="BT536" t="s">
        <v>220</v>
      </c>
      <c r="BU536" t="s">
        <v>206</v>
      </c>
      <c r="BX536" t="s">
        <v>221</v>
      </c>
      <c r="BY536" t="s">
        <v>221</v>
      </c>
      <c r="CA536" t="s">
        <v>338</v>
      </c>
      <c r="CB536" t="s">
        <v>223</v>
      </c>
      <c r="CC536" t="s">
        <v>209</v>
      </c>
      <c r="CE536" t="s">
        <v>242</v>
      </c>
      <c r="CJ536" t="s">
        <v>206</v>
      </c>
      <c r="CK536" t="s">
        <v>230</v>
      </c>
      <c r="CL536" t="s">
        <v>231</v>
      </c>
      <c r="CM536" t="s">
        <v>232</v>
      </c>
      <c r="CN536" t="s">
        <v>233</v>
      </c>
      <c r="CP536" t="s">
        <v>212</v>
      </c>
      <c r="CQ536" t="s">
        <v>212</v>
      </c>
      <c r="CR536" t="s">
        <v>212</v>
      </c>
      <c r="CS536" t="s">
        <v>212</v>
      </c>
      <c r="CY536" t="s">
        <v>212</v>
      </c>
      <c r="DB536" t="s">
        <v>234</v>
      </c>
      <c r="DE536" t="s">
        <v>212</v>
      </c>
      <c r="DF536" t="s">
        <v>212</v>
      </c>
      <c r="DG536" t="s">
        <v>235</v>
      </c>
      <c r="DH536" t="s">
        <v>212</v>
      </c>
      <c r="DJ536" t="s">
        <v>236</v>
      </c>
      <c r="DM536" t="s">
        <v>212</v>
      </c>
    </row>
    <row r="537" spans="1:117" x14ac:dyDescent="0.3">
      <c r="A537">
        <v>350926</v>
      </c>
      <c r="B537">
        <v>316941</v>
      </c>
      <c r="C537" t="str">
        <f>"080206550985"</f>
        <v>080206550985</v>
      </c>
      <c r="D537" t="s">
        <v>1565</v>
      </c>
      <c r="E537" t="s">
        <v>1566</v>
      </c>
      <c r="F537" t="s">
        <v>634</v>
      </c>
      <c r="G537" s="1">
        <v>39484</v>
      </c>
      <c r="I537" t="s">
        <v>240</v>
      </c>
      <c r="J537" t="s">
        <v>200</v>
      </c>
      <c r="K537" t="s">
        <v>201</v>
      </c>
      <c r="Q537" t="s">
        <v>212</v>
      </c>
      <c r="R537" t="str">
        <f>"КАЗАХСТАН, АКМОЛИНСКАЯ, СТЕПНОГОРСК, 10, 11"</f>
        <v>КАЗАХСТАН, АКМОЛИНСКАЯ, СТЕПНОГОРСК, 10, 11</v>
      </c>
      <c r="S537" t="str">
        <f>"ҚАЗАҚСТАН, АҚМОЛА, СТЕПНОГОР, 10, 11"</f>
        <v>ҚАЗАҚСТАН, АҚМОЛА, СТЕПНОГОР, 10, 11</v>
      </c>
      <c r="T537" t="str">
        <f>"10, 11"</f>
        <v>10, 11</v>
      </c>
      <c r="U537" t="str">
        <f>"10, 11"</f>
        <v>10, 11</v>
      </c>
      <c r="AC537" t="str">
        <f>"2015-09-01T00:00:00"</f>
        <v>2015-09-01T00:00:00</v>
      </c>
      <c r="AD537" t="str">
        <f t="shared" si="17"/>
        <v>1</v>
      </c>
      <c r="AG537" t="s">
        <v>202</v>
      </c>
      <c r="AH537" t="str">
        <f t="shared" si="18"/>
        <v>ckool007@mail.ru</v>
      </c>
      <c r="AI537" t="s">
        <v>203</v>
      </c>
      <c r="AJ537" t="s">
        <v>204</v>
      </c>
      <c r="AK537" t="s">
        <v>253</v>
      </c>
      <c r="AL537" t="s">
        <v>206</v>
      </c>
      <c r="AN537" t="s">
        <v>254</v>
      </c>
      <c r="AO537">
        <v>1</v>
      </c>
      <c r="AP537" t="s">
        <v>208</v>
      </c>
      <c r="AQ537" t="s">
        <v>209</v>
      </c>
      <c r="AR537" t="s">
        <v>307</v>
      </c>
      <c r="AW537" t="s">
        <v>206</v>
      </c>
      <c r="AX537" t="s">
        <v>211</v>
      </c>
      <c r="AZ537" t="s">
        <v>209</v>
      </c>
      <c r="BI537" t="s">
        <v>212</v>
      </c>
      <c r="BJ537" t="s">
        <v>213</v>
      </c>
      <c r="BK537" t="s">
        <v>214</v>
      </c>
      <c r="BL537" t="s">
        <v>215</v>
      </c>
      <c r="BN537" t="s">
        <v>216</v>
      </c>
      <c r="BO537" t="s">
        <v>209</v>
      </c>
      <c r="BP537" t="s">
        <v>241</v>
      </c>
      <c r="BQ537">
        <v>5</v>
      </c>
      <c r="BS537" t="s">
        <v>219</v>
      </c>
      <c r="BT537" t="s">
        <v>220</v>
      </c>
      <c r="BU537" t="s">
        <v>206</v>
      </c>
      <c r="BX537" t="s">
        <v>221</v>
      </c>
      <c r="BY537" t="s">
        <v>221</v>
      </c>
      <c r="CA537" t="s">
        <v>338</v>
      </c>
      <c r="CB537" t="s">
        <v>223</v>
      </c>
      <c r="CC537" t="s">
        <v>209</v>
      </c>
      <c r="CE537" t="s">
        <v>242</v>
      </c>
      <c r="CJ537" t="s">
        <v>206</v>
      </c>
      <c r="CK537" t="s">
        <v>230</v>
      </c>
      <c r="CL537" t="s">
        <v>231</v>
      </c>
      <c r="CM537" t="s">
        <v>232</v>
      </c>
      <c r="CN537" t="s">
        <v>233</v>
      </c>
      <c r="CP537" t="s">
        <v>212</v>
      </c>
      <c r="CQ537" t="s">
        <v>212</v>
      </c>
      <c r="CR537" t="s">
        <v>212</v>
      </c>
      <c r="CS537" t="s">
        <v>212</v>
      </c>
      <c r="CY537" t="s">
        <v>212</v>
      </c>
      <c r="DB537" t="s">
        <v>234</v>
      </c>
      <c r="DE537" t="s">
        <v>212</v>
      </c>
      <c r="DF537" t="s">
        <v>212</v>
      </c>
      <c r="DG537" t="s">
        <v>235</v>
      </c>
      <c r="DH537" t="s">
        <v>212</v>
      </c>
      <c r="DJ537" t="s">
        <v>421</v>
      </c>
      <c r="DK537" t="s">
        <v>707</v>
      </c>
      <c r="DL537" t="s">
        <v>423</v>
      </c>
      <c r="DM537" t="s">
        <v>206</v>
      </c>
    </row>
    <row r="538" spans="1:117" x14ac:dyDescent="0.3">
      <c r="A538">
        <v>350670</v>
      </c>
      <c r="B538">
        <v>316706</v>
      </c>
      <c r="C538" t="str">
        <f>"061027651024"</f>
        <v>061027651024</v>
      </c>
      <c r="D538" t="s">
        <v>1567</v>
      </c>
      <c r="E538" t="s">
        <v>1568</v>
      </c>
      <c r="F538" t="s">
        <v>1569</v>
      </c>
      <c r="G538" s="1">
        <v>39017</v>
      </c>
      <c r="I538" t="s">
        <v>199</v>
      </c>
      <c r="J538" t="s">
        <v>200</v>
      </c>
      <c r="K538" t="s">
        <v>201</v>
      </c>
      <c r="Q538" t="s">
        <v>212</v>
      </c>
      <c r="R538" t="str">
        <f>"КАЗАХСТАН, АКМОЛИНСКАЯ, СТЕПНОГОРСК, 48, 49"</f>
        <v>КАЗАХСТАН, АКМОЛИНСКАЯ, СТЕПНОГОРСК, 48, 49</v>
      </c>
      <c r="S538" t="str">
        <f>"ҚАЗАҚСТАН, АҚМОЛА, СТЕПНОГОР, 48, 49"</f>
        <v>ҚАЗАҚСТАН, АҚМОЛА, СТЕПНОГОР, 48, 49</v>
      </c>
      <c r="T538" t="str">
        <f>"48, 49"</f>
        <v>48, 49</v>
      </c>
      <c r="U538" t="str">
        <f>"48, 49"</f>
        <v>48, 49</v>
      </c>
      <c r="AC538" t="str">
        <f>"2015-09-01T00:00:00"</f>
        <v>2015-09-01T00:00:00</v>
      </c>
      <c r="AD538" t="str">
        <f t="shared" si="17"/>
        <v>1</v>
      </c>
      <c r="AE538" t="str">
        <f>"2023-09-01T18:44:22"</f>
        <v>2023-09-01T18:44:22</v>
      </c>
      <c r="AF538" t="str">
        <f>"2024-05-25T18:44:22"</f>
        <v>2024-05-25T18:44:22</v>
      </c>
      <c r="AG538" t="s">
        <v>202</v>
      </c>
      <c r="AH538" t="str">
        <f t="shared" si="18"/>
        <v>ckool007@mail.ru</v>
      </c>
      <c r="AI538" t="s">
        <v>203</v>
      </c>
      <c r="AJ538" t="s">
        <v>204</v>
      </c>
      <c r="AK538" t="s">
        <v>246</v>
      </c>
      <c r="AL538" t="s">
        <v>206</v>
      </c>
      <c r="AN538" t="s">
        <v>207</v>
      </c>
      <c r="AO538">
        <v>1</v>
      </c>
      <c r="AP538" t="s">
        <v>208</v>
      </c>
      <c r="AQ538" t="s">
        <v>209</v>
      </c>
      <c r="AR538" t="s">
        <v>210</v>
      </c>
      <c r="AW538" t="s">
        <v>206</v>
      </c>
      <c r="AX538" t="s">
        <v>211</v>
      </c>
      <c r="AZ538" t="s">
        <v>209</v>
      </c>
      <c r="BI538" t="s">
        <v>212</v>
      </c>
      <c r="BJ538" t="s">
        <v>213</v>
      </c>
      <c r="BK538" t="s">
        <v>214</v>
      </c>
      <c r="BL538" t="s">
        <v>215</v>
      </c>
      <c r="BN538" t="s">
        <v>247</v>
      </c>
      <c r="BO538" t="s">
        <v>209</v>
      </c>
      <c r="BP538" t="s">
        <v>241</v>
      </c>
      <c r="BQ538">
        <v>3</v>
      </c>
      <c r="BS538" t="s">
        <v>219</v>
      </c>
      <c r="BT538" t="s">
        <v>220</v>
      </c>
      <c r="BU538" t="s">
        <v>206</v>
      </c>
      <c r="BX538" t="s">
        <v>221</v>
      </c>
      <c r="BY538" t="s">
        <v>221</v>
      </c>
      <c r="CA538" t="s">
        <v>249</v>
      </c>
      <c r="CB538" t="s">
        <v>223</v>
      </c>
      <c r="CC538" t="s">
        <v>209</v>
      </c>
      <c r="CE538" t="s">
        <v>242</v>
      </c>
      <c r="CJ538" t="s">
        <v>206</v>
      </c>
      <c r="CK538" t="s">
        <v>230</v>
      </c>
      <c r="CL538" t="s">
        <v>231</v>
      </c>
      <c r="CM538" t="s">
        <v>232</v>
      </c>
      <c r="CN538" t="s">
        <v>233</v>
      </c>
      <c r="CP538" t="s">
        <v>212</v>
      </c>
      <c r="CQ538" t="s">
        <v>212</v>
      </c>
      <c r="CR538" t="s">
        <v>212</v>
      </c>
      <c r="CS538" t="s">
        <v>212</v>
      </c>
      <c r="CY538" t="s">
        <v>212</v>
      </c>
      <c r="DB538" t="s">
        <v>234</v>
      </c>
      <c r="DE538" t="s">
        <v>212</v>
      </c>
      <c r="DF538" t="s">
        <v>212</v>
      </c>
      <c r="DG538" t="s">
        <v>235</v>
      </c>
      <c r="DH538" t="s">
        <v>212</v>
      </c>
      <c r="DJ538" t="s">
        <v>236</v>
      </c>
      <c r="DM538" t="s">
        <v>206</v>
      </c>
    </row>
    <row r="539" spans="1:117" x14ac:dyDescent="0.3">
      <c r="A539">
        <v>350354</v>
      </c>
      <c r="B539">
        <v>316424</v>
      </c>
      <c r="C539" t="str">
        <f>"121217603020"</f>
        <v>121217603020</v>
      </c>
      <c r="D539" t="s">
        <v>686</v>
      </c>
      <c r="E539" t="s">
        <v>1121</v>
      </c>
      <c r="F539" t="s">
        <v>618</v>
      </c>
      <c r="G539" s="1">
        <v>41260</v>
      </c>
      <c r="I539" t="s">
        <v>199</v>
      </c>
      <c r="J539" t="s">
        <v>200</v>
      </c>
      <c r="K539" t="s">
        <v>201</v>
      </c>
      <c r="Q539" t="s">
        <v>212</v>
      </c>
      <c r="R539" t="str">
        <f>"КАЗАХСТАН, АКМОЛИНСКАЯ, СТЕПНОГОРСК, 24, 38"</f>
        <v>КАЗАХСТАН, АКМОЛИНСКАЯ, СТЕПНОГОРСК, 24, 38</v>
      </c>
      <c r="S539" t="str">
        <f>"ҚАЗАҚСТАН, АҚМОЛА, СТЕПНОГОР, 24, 38"</f>
        <v>ҚАЗАҚСТАН, АҚМОЛА, СТЕПНОГОР, 24, 38</v>
      </c>
      <c r="T539" t="str">
        <f>"24, 38"</f>
        <v>24, 38</v>
      </c>
      <c r="U539" t="str">
        <f>"24, 38"</f>
        <v>24, 38</v>
      </c>
      <c r="AC539" t="str">
        <f>"2019-08-29T00:00:00"</f>
        <v>2019-08-29T00:00:00</v>
      </c>
      <c r="AD539" t="str">
        <f t="shared" si="17"/>
        <v>1</v>
      </c>
      <c r="AE539" t="str">
        <f>"2023-09-01T23:55:46"</f>
        <v>2023-09-01T23:55:46</v>
      </c>
      <c r="AF539" t="str">
        <f>"2024-05-25T23:55:46"</f>
        <v>2024-05-25T23:55:46</v>
      </c>
      <c r="AG539" t="s">
        <v>1259</v>
      </c>
      <c r="AI539" t="s">
        <v>274</v>
      </c>
      <c r="AJ539" t="s">
        <v>419</v>
      </c>
      <c r="AK539" t="s">
        <v>434</v>
      </c>
      <c r="AL539" t="s">
        <v>206</v>
      </c>
      <c r="AN539" t="s">
        <v>254</v>
      </c>
      <c r="AO539">
        <v>1</v>
      </c>
      <c r="AP539" t="s">
        <v>208</v>
      </c>
      <c r="AQ539" t="s">
        <v>209</v>
      </c>
      <c r="AR539" t="s">
        <v>210</v>
      </c>
      <c r="AW539" t="s">
        <v>206</v>
      </c>
      <c r="AX539" t="s">
        <v>211</v>
      </c>
      <c r="AZ539" t="s">
        <v>209</v>
      </c>
      <c r="BI539" t="s">
        <v>212</v>
      </c>
      <c r="BJ539" t="s">
        <v>213</v>
      </c>
      <c r="BK539" t="s">
        <v>214</v>
      </c>
      <c r="BL539" t="s">
        <v>215</v>
      </c>
      <c r="BN539" t="s">
        <v>247</v>
      </c>
      <c r="BO539" t="s">
        <v>209</v>
      </c>
      <c r="BP539" t="s">
        <v>241</v>
      </c>
      <c r="BQ539">
        <v>3</v>
      </c>
      <c r="BS539" t="s">
        <v>219</v>
      </c>
      <c r="BT539" t="s">
        <v>220</v>
      </c>
      <c r="BU539" t="s">
        <v>212</v>
      </c>
      <c r="BX539" t="s">
        <v>221</v>
      </c>
      <c r="BY539" t="s">
        <v>221</v>
      </c>
      <c r="CA539" t="s">
        <v>263</v>
      </c>
      <c r="CB539" t="s">
        <v>223</v>
      </c>
      <c r="CC539" t="s">
        <v>224</v>
      </c>
      <c r="CD539" t="s">
        <v>223</v>
      </c>
      <c r="CE539" t="s">
        <v>242</v>
      </c>
      <c r="CJ539" t="s">
        <v>206</v>
      </c>
      <c r="CK539" t="s">
        <v>230</v>
      </c>
      <c r="CL539" t="s">
        <v>231</v>
      </c>
      <c r="CM539" t="s">
        <v>232</v>
      </c>
      <c r="CN539" t="s">
        <v>233</v>
      </c>
      <c r="CP539" t="s">
        <v>212</v>
      </c>
      <c r="CQ539" t="s">
        <v>212</v>
      </c>
      <c r="CR539" t="s">
        <v>212</v>
      </c>
      <c r="CS539" t="s">
        <v>212</v>
      </c>
      <c r="CY539" t="s">
        <v>212</v>
      </c>
      <c r="DB539" t="s">
        <v>234</v>
      </c>
      <c r="DE539" t="s">
        <v>212</v>
      </c>
      <c r="DF539" t="s">
        <v>212</v>
      </c>
      <c r="DG539" t="s">
        <v>235</v>
      </c>
      <c r="DH539" t="s">
        <v>212</v>
      </c>
      <c r="DJ539" t="s">
        <v>236</v>
      </c>
      <c r="DM539" t="s">
        <v>212</v>
      </c>
    </row>
    <row r="540" spans="1:117" x14ac:dyDescent="0.3">
      <c r="A540">
        <v>350241</v>
      </c>
      <c r="B540">
        <v>316330</v>
      </c>
      <c r="C540" t="str">
        <f>"100721652974"</f>
        <v>100721652974</v>
      </c>
      <c r="D540" t="s">
        <v>1570</v>
      </c>
      <c r="E540" t="s">
        <v>516</v>
      </c>
      <c r="F540" t="s">
        <v>555</v>
      </c>
      <c r="G540" s="1">
        <v>40380</v>
      </c>
      <c r="I540" t="s">
        <v>199</v>
      </c>
      <c r="J540" t="s">
        <v>200</v>
      </c>
      <c r="K540" t="s">
        <v>260</v>
      </c>
      <c r="R540" t="str">
        <f>"АНДОРРА, АКМОЛИНСКАЯ, СТЕПНОГОРСК, СТЕПНОГОРСК, 10, 53"</f>
        <v>АНДОРРА, АКМОЛИНСКАЯ, СТЕПНОГОРСК, СТЕПНОГОРСК, 10, 53</v>
      </c>
      <c r="S540" t="str">
        <f>"АНДОРРА, АҚМОЛА, СТЕПНОГОР, СТЕПНОГОРСК, 10, 53"</f>
        <v>АНДОРРА, АҚМОЛА, СТЕПНОГОР, СТЕПНОГОРСК, 10, 53</v>
      </c>
      <c r="T540" t="str">
        <f>"СТЕПНОГОРСК, 10, 53"</f>
        <v>СТЕПНОГОРСК, 10, 53</v>
      </c>
      <c r="U540" t="str">
        <f>"СТЕПНОГОРСК, 10, 53"</f>
        <v>СТЕПНОГОРСК, 10, 53</v>
      </c>
      <c r="AC540" t="str">
        <f>"2016-09-01T00:00:00"</f>
        <v>2016-09-01T00:00:00</v>
      </c>
      <c r="AD540" t="str">
        <f t="shared" si="17"/>
        <v>1</v>
      </c>
      <c r="AG540" t="s">
        <v>202</v>
      </c>
      <c r="AH540" t="str">
        <f>"ckool007@mail.ru"</f>
        <v>ckool007@mail.ru</v>
      </c>
      <c r="AI540" t="s">
        <v>299</v>
      </c>
      <c r="AJ540" t="s">
        <v>286</v>
      </c>
      <c r="AK540" t="s">
        <v>205</v>
      </c>
      <c r="AL540" t="s">
        <v>206</v>
      </c>
      <c r="AN540" t="s">
        <v>207</v>
      </c>
      <c r="AO540">
        <v>1</v>
      </c>
      <c r="AP540" t="s">
        <v>208</v>
      </c>
      <c r="AQ540" t="s">
        <v>209</v>
      </c>
      <c r="AR540" t="s">
        <v>210</v>
      </c>
      <c r="AW540" t="s">
        <v>206</v>
      </c>
      <c r="AX540" t="s">
        <v>211</v>
      </c>
      <c r="AZ540" t="s">
        <v>209</v>
      </c>
      <c r="BI540" t="s">
        <v>212</v>
      </c>
      <c r="BJ540" t="s">
        <v>213</v>
      </c>
      <c r="BK540" t="s">
        <v>214</v>
      </c>
      <c r="BL540" t="s">
        <v>215</v>
      </c>
      <c r="BN540" t="s">
        <v>216</v>
      </c>
      <c r="BO540" t="s">
        <v>209</v>
      </c>
      <c r="BP540" t="s">
        <v>217</v>
      </c>
      <c r="BQ540" t="s">
        <v>1571</v>
      </c>
      <c r="BS540" t="s">
        <v>219</v>
      </c>
      <c r="BT540" t="s">
        <v>220</v>
      </c>
      <c r="BU540" t="s">
        <v>206</v>
      </c>
      <c r="BX540" t="s">
        <v>221</v>
      </c>
      <c r="BY540" t="s">
        <v>221</v>
      </c>
      <c r="CA540" t="s">
        <v>287</v>
      </c>
      <c r="CC540" t="s">
        <v>209</v>
      </c>
      <c r="CE540" t="s">
        <v>225</v>
      </c>
      <c r="CF540" t="s">
        <v>226</v>
      </c>
      <c r="CG540" t="s">
        <v>343</v>
      </c>
      <c r="CH540" t="s">
        <v>228</v>
      </c>
      <c r="CI540" t="s">
        <v>1572</v>
      </c>
      <c r="CJ540" t="s">
        <v>206</v>
      </c>
      <c r="CK540" t="s">
        <v>230</v>
      </c>
      <c r="CL540" t="s">
        <v>231</v>
      </c>
      <c r="CM540" t="s">
        <v>232</v>
      </c>
      <c r="CN540" t="s">
        <v>233</v>
      </c>
      <c r="CP540" t="s">
        <v>212</v>
      </c>
      <c r="CQ540" t="s">
        <v>212</v>
      </c>
      <c r="CR540" t="s">
        <v>212</v>
      </c>
      <c r="CS540" t="s">
        <v>212</v>
      </c>
      <c r="CY540" t="s">
        <v>212</v>
      </c>
      <c r="DB540" t="s">
        <v>234</v>
      </c>
      <c r="DE540" t="s">
        <v>212</v>
      </c>
      <c r="DF540" t="s">
        <v>212</v>
      </c>
      <c r="DG540" t="s">
        <v>235</v>
      </c>
      <c r="DH540" t="s">
        <v>212</v>
      </c>
      <c r="DJ540" t="s">
        <v>236</v>
      </c>
      <c r="DM540" t="s">
        <v>212</v>
      </c>
    </row>
    <row r="541" spans="1:117" x14ac:dyDescent="0.3">
      <c r="A541">
        <v>350212</v>
      </c>
      <c r="B541">
        <v>316309</v>
      </c>
      <c r="C541" t="str">
        <f>"100422651316"</f>
        <v>100422651316</v>
      </c>
      <c r="D541" t="s">
        <v>1573</v>
      </c>
      <c r="E541" t="s">
        <v>1135</v>
      </c>
      <c r="F541" t="s">
        <v>1163</v>
      </c>
      <c r="G541" s="1">
        <v>40290</v>
      </c>
      <c r="I541" t="s">
        <v>199</v>
      </c>
      <c r="J541" t="s">
        <v>200</v>
      </c>
      <c r="K541" t="s">
        <v>260</v>
      </c>
      <c r="Q541" t="s">
        <v>212</v>
      </c>
      <c r="R541" t="str">
        <f>"КАЗАХСТАН, АКМОЛИНСКАЯ, СТЕПНОГОРСК, СТЕПНОГОРСК, 83, 110"</f>
        <v>КАЗАХСТАН, АКМОЛИНСКАЯ, СТЕПНОГОРСК, СТЕПНОГОРСК, 83, 110</v>
      </c>
      <c r="S541" t="str">
        <f>"ҚАЗАҚСТАН, АҚМОЛА, СТЕПНОГОР, СТЕПНОГОРСК, 83, 110"</f>
        <v>ҚАЗАҚСТАН, АҚМОЛА, СТЕПНОГОР, СТЕПНОГОРСК, 83, 110</v>
      </c>
      <c r="T541" t="str">
        <f>"СТЕПНОГОРСК, 83, 110"</f>
        <v>СТЕПНОГОРСК, 83, 110</v>
      </c>
      <c r="U541" t="str">
        <f>"СТЕПНОГОРСК, 83, 110"</f>
        <v>СТЕПНОГОРСК, 83, 110</v>
      </c>
      <c r="AC541" t="str">
        <f>"2016-09-01T00:00:00"</f>
        <v>2016-09-01T00:00:00</v>
      </c>
      <c r="AD541" t="str">
        <f t="shared" si="17"/>
        <v>1</v>
      </c>
      <c r="AG541" t="s">
        <v>202</v>
      </c>
      <c r="AI541" t="s">
        <v>299</v>
      </c>
      <c r="AJ541" t="s">
        <v>300</v>
      </c>
      <c r="AK541" t="s">
        <v>205</v>
      </c>
      <c r="AL541" t="s">
        <v>206</v>
      </c>
      <c r="AN541" t="s">
        <v>207</v>
      </c>
      <c r="AO541">
        <v>1</v>
      </c>
      <c r="AP541" t="s">
        <v>208</v>
      </c>
      <c r="AQ541" t="s">
        <v>209</v>
      </c>
      <c r="AR541" t="s">
        <v>210</v>
      </c>
      <c r="AW541" t="s">
        <v>206</v>
      </c>
      <c r="AX541" t="s">
        <v>211</v>
      </c>
      <c r="AZ541" t="s">
        <v>209</v>
      </c>
      <c r="BI541" t="s">
        <v>212</v>
      </c>
      <c r="BJ541" t="s">
        <v>213</v>
      </c>
      <c r="BK541" t="s">
        <v>214</v>
      </c>
      <c r="BL541" t="s">
        <v>215</v>
      </c>
      <c r="BN541" t="s">
        <v>216</v>
      </c>
      <c r="BO541" t="s">
        <v>209</v>
      </c>
      <c r="BP541" t="s">
        <v>241</v>
      </c>
      <c r="BQ541">
        <v>5</v>
      </c>
      <c r="BS541" t="s">
        <v>219</v>
      </c>
      <c r="BT541" t="s">
        <v>220</v>
      </c>
      <c r="BU541" t="s">
        <v>206</v>
      </c>
      <c r="BX541" t="s">
        <v>221</v>
      </c>
      <c r="BY541" t="s">
        <v>221</v>
      </c>
      <c r="CA541" t="s">
        <v>263</v>
      </c>
      <c r="CB541" t="s">
        <v>223</v>
      </c>
      <c r="CC541" t="s">
        <v>222</v>
      </c>
      <c r="CD541" t="s">
        <v>223</v>
      </c>
      <c r="CE541" t="s">
        <v>242</v>
      </c>
      <c r="CJ541" t="s">
        <v>206</v>
      </c>
      <c r="CK541" t="s">
        <v>230</v>
      </c>
      <c r="CL541" t="s">
        <v>231</v>
      </c>
      <c r="CM541" t="s">
        <v>232</v>
      </c>
      <c r="CN541" t="s">
        <v>233</v>
      </c>
      <c r="CP541" t="s">
        <v>212</v>
      </c>
      <c r="CQ541" t="s">
        <v>212</v>
      </c>
      <c r="CR541" t="s">
        <v>212</v>
      </c>
      <c r="CS541" t="s">
        <v>212</v>
      </c>
      <c r="CY541" t="s">
        <v>212</v>
      </c>
      <c r="DB541" t="s">
        <v>234</v>
      </c>
      <c r="DE541" t="s">
        <v>212</v>
      </c>
      <c r="DF541" t="s">
        <v>212</v>
      </c>
      <c r="DG541" t="s">
        <v>235</v>
      </c>
      <c r="DH541" t="s">
        <v>212</v>
      </c>
      <c r="DJ541" t="s">
        <v>236</v>
      </c>
      <c r="DM541" t="s">
        <v>212</v>
      </c>
    </row>
    <row r="542" spans="1:117" x14ac:dyDescent="0.3">
      <c r="A542">
        <v>350204</v>
      </c>
      <c r="B542">
        <v>316293</v>
      </c>
      <c r="C542" t="str">
        <f>"100517551891"</f>
        <v>100517551891</v>
      </c>
      <c r="D542" t="s">
        <v>1438</v>
      </c>
      <c r="E542" t="s">
        <v>842</v>
      </c>
      <c r="F542" t="s">
        <v>641</v>
      </c>
      <c r="G542" s="1">
        <v>40315</v>
      </c>
      <c r="I542" t="s">
        <v>240</v>
      </c>
      <c r="J542" t="s">
        <v>200</v>
      </c>
      <c r="K542" t="s">
        <v>306</v>
      </c>
      <c r="R542" t="str">
        <f>"АНДОРРА, АКМОЛИНСКАЯ, СТЕПНОГОРСК, 15, 47"</f>
        <v>АНДОРРА, АКМОЛИНСКАЯ, СТЕПНОГОРСК, 15, 47</v>
      </c>
      <c r="S542" t="str">
        <f>"АНДОРРА, АҚМОЛА, СТЕПНОГОР, 15, 47"</f>
        <v>АНДОРРА, АҚМОЛА, СТЕПНОГОР, 15, 47</v>
      </c>
      <c r="T542" t="str">
        <f>"15, 47"</f>
        <v>15, 47</v>
      </c>
      <c r="U542" t="str">
        <f>"15, 47"</f>
        <v>15, 47</v>
      </c>
      <c r="AC542" t="str">
        <f>"2016-09-01T00:00:00"</f>
        <v>2016-09-01T00:00:00</v>
      </c>
      <c r="AD542" t="str">
        <f t="shared" si="17"/>
        <v>1</v>
      </c>
      <c r="AG542" t="s">
        <v>202</v>
      </c>
      <c r="AH542" t="str">
        <f>"ckool007@mail.ru"</f>
        <v>ckool007@mail.ru</v>
      </c>
      <c r="AI542" t="s">
        <v>299</v>
      </c>
      <c r="AJ542" t="s">
        <v>286</v>
      </c>
      <c r="AK542" t="s">
        <v>261</v>
      </c>
      <c r="AL542" t="s">
        <v>206</v>
      </c>
      <c r="AN542" t="s">
        <v>207</v>
      </c>
      <c r="AO542">
        <v>1</v>
      </c>
      <c r="AP542" t="s">
        <v>208</v>
      </c>
      <c r="AQ542" t="s">
        <v>209</v>
      </c>
      <c r="AR542" t="s">
        <v>210</v>
      </c>
      <c r="AW542" t="s">
        <v>206</v>
      </c>
      <c r="AX542" t="s">
        <v>211</v>
      </c>
      <c r="AZ542" t="s">
        <v>209</v>
      </c>
      <c r="BI542" t="s">
        <v>212</v>
      </c>
      <c r="BJ542" t="s">
        <v>213</v>
      </c>
      <c r="BK542" t="s">
        <v>214</v>
      </c>
      <c r="BL542" t="s">
        <v>215</v>
      </c>
      <c r="BN542" t="s">
        <v>216</v>
      </c>
      <c r="BO542" t="s">
        <v>209</v>
      </c>
      <c r="BP542" t="s">
        <v>241</v>
      </c>
      <c r="BQ542">
        <v>4</v>
      </c>
      <c r="BS542" t="s">
        <v>219</v>
      </c>
      <c r="BT542" t="s">
        <v>220</v>
      </c>
      <c r="BU542" t="s">
        <v>206</v>
      </c>
      <c r="BX542" t="s">
        <v>234</v>
      </c>
      <c r="BY542" t="s">
        <v>234</v>
      </c>
      <c r="CA542" t="s">
        <v>287</v>
      </c>
      <c r="CC542" t="s">
        <v>222</v>
      </c>
      <c r="CD542" t="s">
        <v>223</v>
      </c>
      <c r="CE542" t="s">
        <v>242</v>
      </c>
      <c r="CJ542" t="s">
        <v>206</v>
      </c>
      <c r="CK542" t="s">
        <v>230</v>
      </c>
      <c r="CL542" t="s">
        <v>231</v>
      </c>
      <c r="CM542" t="s">
        <v>232</v>
      </c>
      <c r="CN542" t="s">
        <v>233</v>
      </c>
      <c r="CP542" t="s">
        <v>212</v>
      </c>
      <c r="CQ542" t="s">
        <v>212</v>
      </c>
      <c r="CR542" t="s">
        <v>212</v>
      </c>
      <c r="CS542" t="s">
        <v>212</v>
      </c>
      <c r="CY542" t="s">
        <v>212</v>
      </c>
      <c r="DB542" t="s">
        <v>234</v>
      </c>
      <c r="DE542" t="s">
        <v>212</v>
      </c>
      <c r="DF542" t="s">
        <v>212</v>
      </c>
      <c r="DG542" t="s">
        <v>235</v>
      </c>
      <c r="DH542" t="s">
        <v>212</v>
      </c>
      <c r="DJ542" t="s">
        <v>236</v>
      </c>
      <c r="DM542" t="s">
        <v>212</v>
      </c>
    </row>
    <row r="543" spans="1:117" x14ac:dyDescent="0.3">
      <c r="A543">
        <v>350065</v>
      </c>
      <c r="B543">
        <v>316181</v>
      </c>
      <c r="C543" t="str">
        <f>"100314650452"</f>
        <v>100314650452</v>
      </c>
      <c r="D543" t="s">
        <v>1176</v>
      </c>
      <c r="E543" t="s">
        <v>996</v>
      </c>
      <c r="F543" t="s">
        <v>1178</v>
      </c>
      <c r="G543" s="1">
        <v>40251</v>
      </c>
      <c r="I543" t="s">
        <v>199</v>
      </c>
      <c r="J543" t="s">
        <v>200</v>
      </c>
      <c r="K543" t="s">
        <v>201</v>
      </c>
      <c r="R543" t="str">
        <f>"КАЗАХСТАН, АКМОЛИНСКАЯ, СТЕПНОГОРСК, 10, 11"</f>
        <v>КАЗАХСТАН, АКМОЛИНСКАЯ, СТЕПНОГОРСК, 10, 11</v>
      </c>
      <c r="S543" t="str">
        <f>"ҚАЗАҚСТАН, АҚМОЛА, СТЕПНОГОР, 10, 11"</f>
        <v>ҚАЗАҚСТАН, АҚМОЛА, СТЕПНОГОР, 10, 11</v>
      </c>
      <c r="T543" t="str">
        <f>"10, 11"</f>
        <v>10, 11</v>
      </c>
      <c r="U543" t="str">
        <f>"10, 11"</f>
        <v>10, 11</v>
      </c>
      <c r="AC543" t="str">
        <f>"2017-09-01T00:00:00"</f>
        <v>2017-09-01T00:00:00</v>
      </c>
      <c r="AD543" t="str">
        <f t="shared" si="17"/>
        <v>1</v>
      </c>
      <c r="AG543" t="s">
        <v>646</v>
      </c>
      <c r="AH543" t="str">
        <f>"ckool007@mail.ru"</f>
        <v>ckool007@mail.ru</v>
      </c>
      <c r="AI543" t="s">
        <v>203</v>
      </c>
      <c r="AJ543" t="s">
        <v>286</v>
      </c>
      <c r="AK543" t="s">
        <v>253</v>
      </c>
      <c r="AL543" t="s">
        <v>206</v>
      </c>
      <c r="AN543" t="s">
        <v>254</v>
      </c>
      <c r="AO543">
        <v>1</v>
      </c>
      <c r="AP543" t="s">
        <v>208</v>
      </c>
      <c r="AQ543" t="s">
        <v>209</v>
      </c>
      <c r="AR543" t="s">
        <v>210</v>
      </c>
      <c r="AV543" t="str">
        <f>"2021-01-25T00:33:31"</f>
        <v>2021-01-25T00:33:31</v>
      </c>
      <c r="AW543" t="s">
        <v>206</v>
      </c>
      <c r="AX543" t="s">
        <v>211</v>
      </c>
      <c r="AZ543" t="s">
        <v>209</v>
      </c>
      <c r="BI543" t="s">
        <v>212</v>
      </c>
      <c r="BJ543" t="s">
        <v>213</v>
      </c>
      <c r="BK543" t="s">
        <v>214</v>
      </c>
      <c r="BL543" t="s">
        <v>215</v>
      </c>
      <c r="BN543" t="s">
        <v>216</v>
      </c>
      <c r="BO543" t="s">
        <v>209</v>
      </c>
      <c r="BP543" t="s">
        <v>241</v>
      </c>
      <c r="BQ543">
        <v>4</v>
      </c>
      <c r="BS543" t="s">
        <v>219</v>
      </c>
      <c r="BT543" t="s">
        <v>220</v>
      </c>
      <c r="BU543" t="s">
        <v>206</v>
      </c>
      <c r="BX543" t="s">
        <v>221</v>
      </c>
      <c r="BY543" t="s">
        <v>221</v>
      </c>
      <c r="CA543" t="s">
        <v>256</v>
      </c>
      <c r="CB543" t="s">
        <v>223</v>
      </c>
      <c r="CC543" t="s">
        <v>1419</v>
      </c>
      <c r="CD543" t="s">
        <v>223</v>
      </c>
      <c r="CE543" t="s">
        <v>242</v>
      </c>
      <c r="CJ543" t="s">
        <v>206</v>
      </c>
      <c r="CK543" t="s">
        <v>230</v>
      </c>
      <c r="CL543" t="s">
        <v>231</v>
      </c>
      <c r="CM543" t="s">
        <v>232</v>
      </c>
      <c r="CN543" t="s">
        <v>233</v>
      </c>
      <c r="CP543" t="s">
        <v>212</v>
      </c>
      <c r="CQ543" t="s">
        <v>212</v>
      </c>
      <c r="CR543" t="s">
        <v>212</v>
      </c>
      <c r="CS543" t="s">
        <v>212</v>
      </c>
      <c r="CY543" t="s">
        <v>212</v>
      </c>
      <c r="DB543" t="s">
        <v>234</v>
      </c>
      <c r="DE543" t="s">
        <v>212</v>
      </c>
      <c r="DF543" t="s">
        <v>212</v>
      </c>
      <c r="DG543" t="s">
        <v>235</v>
      </c>
      <c r="DH543" t="s">
        <v>212</v>
      </c>
      <c r="DJ543" t="s">
        <v>421</v>
      </c>
      <c r="DK543" t="s">
        <v>707</v>
      </c>
      <c r="DL543" t="s">
        <v>423</v>
      </c>
      <c r="DM543" t="s">
        <v>206</v>
      </c>
    </row>
    <row r="544" spans="1:117" x14ac:dyDescent="0.3">
      <c r="A544">
        <v>350001</v>
      </c>
      <c r="B544">
        <v>316133</v>
      </c>
      <c r="C544" t="str">
        <f>"081005551369"</f>
        <v>081005551369</v>
      </c>
      <c r="D544" t="s">
        <v>1574</v>
      </c>
      <c r="E544" t="s">
        <v>824</v>
      </c>
      <c r="F544" t="s">
        <v>865</v>
      </c>
      <c r="G544" s="1">
        <v>39726</v>
      </c>
      <c r="I544" t="s">
        <v>240</v>
      </c>
      <c r="J544" t="s">
        <v>200</v>
      </c>
      <c r="K544" t="s">
        <v>260</v>
      </c>
      <c r="R544" t="str">
        <f>"АНДОРРА, АКМОЛИНСКАЯ, СТЕПНОГОРСК, 38, 48"</f>
        <v>АНДОРРА, АКМОЛИНСКАЯ, СТЕПНОГОРСК, 38, 48</v>
      </c>
      <c r="S544" t="str">
        <f>"АНДОРРА, АҚМОЛА, СТЕПНОГОР, 38, 48"</f>
        <v>АНДОРРА, АҚМОЛА, СТЕПНОГОР, 38, 48</v>
      </c>
      <c r="T544" t="str">
        <f>"38, 48"</f>
        <v>38, 48</v>
      </c>
      <c r="U544" t="str">
        <f>"38, 48"</f>
        <v>38, 48</v>
      </c>
      <c r="AC544" t="str">
        <f>"2015-09-01T00:00:00"</f>
        <v>2015-09-01T00:00:00</v>
      </c>
      <c r="AD544" t="str">
        <f t="shared" si="17"/>
        <v>1</v>
      </c>
      <c r="AG544" t="s">
        <v>202</v>
      </c>
      <c r="AH544" t="str">
        <f>"ckool007@mail.ru"</f>
        <v>ckool007@mail.ru</v>
      </c>
      <c r="AI544" t="s">
        <v>203</v>
      </c>
      <c r="AJ544" t="s">
        <v>204</v>
      </c>
      <c r="AK544" t="s">
        <v>261</v>
      </c>
      <c r="AL544" t="s">
        <v>206</v>
      </c>
      <c r="AN544" t="s">
        <v>207</v>
      </c>
      <c r="AO544">
        <v>1</v>
      </c>
      <c r="AP544" t="s">
        <v>208</v>
      </c>
      <c r="AQ544" t="s">
        <v>209</v>
      </c>
      <c r="AR544" t="s">
        <v>210</v>
      </c>
      <c r="AW544" t="s">
        <v>206</v>
      </c>
      <c r="AX544" t="s">
        <v>211</v>
      </c>
      <c r="AZ544" t="s">
        <v>209</v>
      </c>
      <c r="BI544" t="s">
        <v>212</v>
      </c>
      <c r="BJ544" t="s">
        <v>213</v>
      </c>
      <c r="BK544" t="s">
        <v>214</v>
      </c>
      <c r="BL544" t="s">
        <v>215</v>
      </c>
      <c r="BN544" t="s">
        <v>216</v>
      </c>
      <c r="BO544" t="s">
        <v>209</v>
      </c>
      <c r="BP544" t="s">
        <v>217</v>
      </c>
      <c r="BQ544" t="s">
        <v>218</v>
      </c>
      <c r="BS544" t="s">
        <v>219</v>
      </c>
      <c r="BT544" t="s">
        <v>220</v>
      </c>
      <c r="BU544" t="s">
        <v>206</v>
      </c>
      <c r="BX544" t="s">
        <v>221</v>
      </c>
      <c r="BY544" t="s">
        <v>221</v>
      </c>
      <c r="CA544" t="s">
        <v>263</v>
      </c>
      <c r="CB544" t="s">
        <v>223</v>
      </c>
      <c r="CC544" t="s">
        <v>209</v>
      </c>
      <c r="CE544" t="s">
        <v>225</v>
      </c>
      <c r="CF544" t="s">
        <v>226</v>
      </c>
      <c r="CG544" t="s">
        <v>392</v>
      </c>
      <c r="CH544" t="s">
        <v>228</v>
      </c>
      <c r="CI544" t="s">
        <v>1575</v>
      </c>
      <c r="CJ544" t="s">
        <v>206</v>
      </c>
      <c r="CK544" t="s">
        <v>230</v>
      </c>
      <c r="CL544" t="s">
        <v>1576</v>
      </c>
      <c r="CM544" t="s">
        <v>232</v>
      </c>
      <c r="CN544" t="s">
        <v>233</v>
      </c>
      <c r="CP544" t="s">
        <v>212</v>
      </c>
      <c r="CQ544" t="s">
        <v>212</v>
      </c>
      <c r="CR544" t="s">
        <v>212</v>
      </c>
      <c r="CS544" t="s">
        <v>212</v>
      </c>
      <c r="CY544" t="s">
        <v>212</v>
      </c>
      <c r="DB544" t="s">
        <v>234</v>
      </c>
      <c r="DE544" t="s">
        <v>212</v>
      </c>
      <c r="DF544" t="s">
        <v>212</v>
      </c>
      <c r="DG544" t="s">
        <v>235</v>
      </c>
      <c r="DH544" t="s">
        <v>212</v>
      </c>
      <c r="DJ544" t="s">
        <v>236</v>
      </c>
      <c r="DM544" t="s">
        <v>212</v>
      </c>
    </row>
    <row r="545" spans="1:117" x14ac:dyDescent="0.3">
      <c r="A545">
        <v>349972</v>
      </c>
      <c r="B545">
        <v>316107</v>
      </c>
      <c r="C545" t="str">
        <f>"090128553978"</f>
        <v>090128553978</v>
      </c>
      <c r="D545" t="s">
        <v>1577</v>
      </c>
      <c r="E545" t="s">
        <v>1578</v>
      </c>
      <c r="F545" t="s">
        <v>1579</v>
      </c>
      <c r="G545" s="1">
        <v>39841</v>
      </c>
      <c r="I545" t="s">
        <v>240</v>
      </c>
      <c r="J545" t="s">
        <v>200</v>
      </c>
      <c r="K545" t="s">
        <v>369</v>
      </c>
      <c r="R545" t="str">
        <f>"АНДОРРА, АКМОЛИНСКАЯ, СТЕПНОГОРСК, 50, 110"</f>
        <v>АНДОРРА, АКМОЛИНСКАЯ, СТЕПНОГОРСК, 50, 110</v>
      </c>
      <c r="S545" t="str">
        <f>"АНДОРРА, АҚМОЛА, СТЕПНОГОР, 50, 110"</f>
        <v>АНДОРРА, АҚМОЛА, СТЕПНОГОР, 50, 110</v>
      </c>
      <c r="T545" t="str">
        <f>"50, 110"</f>
        <v>50, 110</v>
      </c>
      <c r="U545" t="str">
        <f>"50, 110"</f>
        <v>50, 110</v>
      </c>
      <c r="AC545" t="str">
        <f>"2015-09-01T00:00:00"</f>
        <v>2015-09-01T00:00:00</v>
      </c>
      <c r="AD545" t="str">
        <f t="shared" si="17"/>
        <v>1</v>
      </c>
      <c r="AG545" t="s">
        <v>202</v>
      </c>
      <c r="AH545" t="str">
        <f>"ckool007@mail.ru"</f>
        <v>ckool007@mail.ru</v>
      </c>
      <c r="AI545" t="s">
        <v>203</v>
      </c>
      <c r="AJ545" t="s">
        <v>204</v>
      </c>
      <c r="AK545" t="s">
        <v>261</v>
      </c>
      <c r="AL545" t="s">
        <v>206</v>
      </c>
      <c r="AN545" t="s">
        <v>207</v>
      </c>
      <c r="AO545">
        <v>1</v>
      </c>
      <c r="AP545" t="s">
        <v>208</v>
      </c>
      <c r="AQ545" t="s">
        <v>209</v>
      </c>
      <c r="AR545" t="s">
        <v>210</v>
      </c>
      <c r="AW545" t="s">
        <v>206</v>
      </c>
      <c r="AX545" t="s">
        <v>211</v>
      </c>
      <c r="AZ545" t="s">
        <v>209</v>
      </c>
      <c r="BI545" t="s">
        <v>212</v>
      </c>
      <c r="BJ545" t="s">
        <v>213</v>
      </c>
      <c r="BK545" t="s">
        <v>214</v>
      </c>
      <c r="BL545" t="s">
        <v>215</v>
      </c>
      <c r="BN545" t="s">
        <v>247</v>
      </c>
      <c r="BO545" t="s">
        <v>209</v>
      </c>
      <c r="BP545" t="s">
        <v>217</v>
      </c>
      <c r="BQ545" t="s">
        <v>248</v>
      </c>
      <c r="BS545" t="s">
        <v>219</v>
      </c>
      <c r="BT545" t="s">
        <v>220</v>
      </c>
      <c r="BU545" t="s">
        <v>206</v>
      </c>
      <c r="BX545" t="s">
        <v>234</v>
      </c>
      <c r="BY545" t="s">
        <v>234</v>
      </c>
      <c r="CA545" t="s">
        <v>249</v>
      </c>
      <c r="CB545" t="s">
        <v>223</v>
      </c>
      <c r="CC545" t="s">
        <v>209</v>
      </c>
      <c r="CE545" t="s">
        <v>242</v>
      </c>
      <c r="CJ545" t="s">
        <v>206</v>
      </c>
      <c r="CK545" t="s">
        <v>230</v>
      </c>
      <c r="CL545" t="s">
        <v>231</v>
      </c>
      <c r="CM545" t="s">
        <v>232</v>
      </c>
      <c r="CN545" t="s">
        <v>233</v>
      </c>
      <c r="CP545" t="s">
        <v>212</v>
      </c>
      <c r="CQ545" t="s">
        <v>212</v>
      </c>
      <c r="CR545" t="s">
        <v>212</v>
      </c>
      <c r="CS545" t="s">
        <v>212</v>
      </c>
      <c r="CY545" t="s">
        <v>212</v>
      </c>
      <c r="DB545" t="s">
        <v>234</v>
      </c>
      <c r="DE545" t="s">
        <v>212</v>
      </c>
      <c r="DF545" t="s">
        <v>212</v>
      </c>
      <c r="DG545" t="s">
        <v>235</v>
      </c>
      <c r="DH545" t="s">
        <v>212</v>
      </c>
      <c r="DJ545" t="s">
        <v>236</v>
      </c>
      <c r="DM545" t="s">
        <v>212</v>
      </c>
    </row>
    <row r="546" spans="1:117" x14ac:dyDescent="0.3">
      <c r="A546">
        <v>349946</v>
      </c>
      <c r="B546">
        <v>316080</v>
      </c>
      <c r="C546" t="str">
        <f>"100724652623"</f>
        <v>100724652623</v>
      </c>
      <c r="D546" t="s">
        <v>1580</v>
      </c>
      <c r="E546" t="s">
        <v>266</v>
      </c>
      <c r="F546" t="s">
        <v>414</v>
      </c>
      <c r="G546" s="1">
        <v>40383</v>
      </c>
      <c r="I546" t="s">
        <v>199</v>
      </c>
      <c r="J546" t="s">
        <v>200</v>
      </c>
      <c r="K546" t="s">
        <v>260</v>
      </c>
      <c r="R546" t="str">
        <f>"АНДОРРА, АКМОЛИНСКАЯ, СТЕПНОГОРСК, 79, 57"</f>
        <v>АНДОРРА, АКМОЛИНСКАЯ, СТЕПНОГОРСК, 79, 57</v>
      </c>
      <c r="S546" t="str">
        <f>"АНДОРРА, АҚМОЛА, СТЕПНОГОР, 79, 57"</f>
        <v>АНДОРРА, АҚМОЛА, СТЕПНОГОР, 79, 57</v>
      </c>
      <c r="T546" t="str">
        <f>"79, 57"</f>
        <v>79, 57</v>
      </c>
      <c r="U546" t="str">
        <f>"79, 57"</f>
        <v>79, 57</v>
      </c>
      <c r="AC546" t="str">
        <f>"2016-09-01T00:00:00"</f>
        <v>2016-09-01T00:00:00</v>
      </c>
      <c r="AD546" t="str">
        <f t="shared" si="17"/>
        <v>1</v>
      </c>
      <c r="AE546" t="str">
        <f>"2023-09-01T00:29:05"</f>
        <v>2023-09-01T00:29:05</v>
      </c>
      <c r="AF546" t="str">
        <f>"2024-05-25T00:29:05"</f>
        <v>2024-05-25T00:29:05</v>
      </c>
      <c r="AG546" t="s">
        <v>202</v>
      </c>
      <c r="AI546" t="s">
        <v>299</v>
      </c>
      <c r="AJ546" t="s">
        <v>300</v>
      </c>
      <c r="AK546" t="s">
        <v>261</v>
      </c>
      <c r="AL546" t="s">
        <v>206</v>
      </c>
      <c r="AN546" t="s">
        <v>207</v>
      </c>
      <c r="AO546">
        <v>1</v>
      </c>
      <c r="AP546" t="s">
        <v>208</v>
      </c>
      <c r="AQ546" t="s">
        <v>209</v>
      </c>
      <c r="AR546" t="s">
        <v>210</v>
      </c>
      <c r="AW546" t="s">
        <v>206</v>
      </c>
      <c r="AX546" t="s">
        <v>211</v>
      </c>
      <c r="AZ546" t="s">
        <v>209</v>
      </c>
      <c r="BI546" t="s">
        <v>212</v>
      </c>
      <c r="BJ546" t="s">
        <v>213</v>
      </c>
      <c r="BK546" t="s">
        <v>214</v>
      </c>
      <c r="BL546" t="s">
        <v>215</v>
      </c>
      <c r="BN546" t="s">
        <v>216</v>
      </c>
      <c r="BO546" t="s">
        <v>209</v>
      </c>
      <c r="BP546" t="s">
        <v>241</v>
      </c>
      <c r="BQ546">
        <v>4</v>
      </c>
      <c r="BS546" t="s">
        <v>219</v>
      </c>
      <c r="BT546" t="s">
        <v>220</v>
      </c>
      <c r="BU546" t="s">
        <v>206</v>
      </c>
      <c r="BX546" t="s">
        <v>221</v>
      </c>
      <c r="BY546" t="s">
        <v>221</v>
      </c>
      <c r="CA546" t="s">
        <v>365</v>
      </c>
      <c r="CB546" t="s">
        <v>223</v>
      </c>
      <c r="CC546" t="s">
        <v>224</v>
      </c>
      <c r="CD546" t="s">
        <v>223</v>
      </c>
      <c r="CE546" t="s">
        <v>242</v>
      </c>
      <c r="CJ546" t="s">
        <v>206</v>
      </c>
      <c r="CK546" t="s">
        <v>230</v>
      </c>
      <c r="CL546" t="s">
        <v>231</v>
      </c>
      <c r="CM546" t="s">
        <v>232</v>
      </c>
      <c r="CN546" t="s">
        <v>233</v>
      </c>
      <c r="CP546" t="s">
        <v>212</v>
      </c>
      <c r="CQ546" t="s">
        <v>212</v>
      </c>
      <c r="CR546" t="s">
        <v>212</v>
      </c>
      <c r="CS546" t="s">
        <v>212</v>
      </c>
      <c r="CY546" t="s">
        <v>212</v>
      </c>
      <c r="DB546" t="s">
        <v>234</v>
      </c>
      <c r="DE546" t="s">
        <v>212</v>
      </c>
      <c r="DF546" t="s">
        <v>212</v>
      </c>
      <c r="DG546" t="s">
        <v>235</v>
      </c>
      <c r="DH546" t="s">
        <v>212</v>
      </c>
      <c r="DJ546" t="s">
        <v>236</v>
      </c>
      <c r="DM546" t="s">
        <v>212</v>
      </c>
    </row>
    <row r="547" spans="1:117" x14ac:dyDescent="0.3">
      <c r="A547">
        <v>349886</v>
      </c>
      <c r="B547">
        <v>316022</v>
      </c>
      <c r="C547" t="str">
        <f>"120207601097"</f>
        <v>120207601097</v>
      </c>
      <c r="D547" t="s">
        <v>1581</v>
      </c>
      <c r="E547" t="s">
        <v>1582</v>
      </c>
      <c r="F547" t="s">
        <v>1518</v>
      </c>
      <c r="G547" s="1">
        <v>40946</v>
      </c>
      <c r="I547" t="s">
        <v>199</v>
      </c>
      <c r="J547" t="s">
        <v>200</v>
      </c>
      <c r="K547" t="s">
        <v>201</v>
      </c>
      <c r="Q547" t="s">
        <v>212</v>
      </c>
      <c r="R547" t="str">
        <f>"КАЗАХСТАН, АКМОЛИНСКАЯ, СТЕПНОГОРСК, 33, 1"</f>
        <v>КАЗАХСТАН, АКМОЛИНСКАЯ, СТЕПНОГОРСК, 33, 1</v>
      </c>
      <c r="S547" t="str">
        <f>"ҚАЗАҚСТАН, АҚМОЛА, СТЕПНОГОР, 33, 1"</f>
        <v>ҚАЗАҚСТАН, АҚМОЛА, СТЕПНОГОР, 33, 1</v>
      </c>
      <c r="T547" t="str">
        <f>"33, 1"</f>
        <v>33, 1</v>
      </c>
      <c r="U547" t="str">
        <f>"33, 1"</f>
        <v>33, 1</v>
      </c>
      <c r="AC547" t="str">
        <f>"2019-06-10T00:00:00"</f>
        <v>2019-06-10T00:00:00</v>
      </c>
      <c r="AD547" t="str">
        <f>"82"</f>
        <v>82</v>
      </c>
      <c r="AG547" t="s">
        <v>202</v>
      </c>
      <c r="AI547" t="s">
        <v>203</v>
      </c>
      <c r="AJ547" t="s">
        <v>419</v>
      </c>
      <c r="AK547" t="s">
        <v>246</v>
      </c>
      <c r="AL547" t="s">
        <v>206</v>
      </c>
      <c r="AN547" t="s">
        <v>207</v>
      </c>
      <c r="AO547">
        <v>1</v>
      </c>
      <c r="AP547" t="s">
        <v>208</v>
      </c>
      <c r="AQ547" t="s">
        <v>209</v>
      </c>
      <c r="AR547" t="s">
        <v>210</v>
      </c>
      <c r="AW547" t="s">
        <v>206</v>
      </c>
      <c r="AX547" t="s">
        <v>211</v>
      </c>
      <c r="AZ547" t="s">
        <v>209</v>
      </c>
      <c r="BI547" t="s">
        <v>212</v>
      </c>
      <c r="BJ547" t="s">
        <v>213</v>
      </c>
      <c r="BK547" t="s">
        <v>214</v>
      </c>
      <c r="BL547" t="s">
        <v>215</v>
      </c>
      <c r="BN547" t="s">
        <v>216</v>
      </c>
      <c r="BO547" t="s">
        <v>209</v>
      </c>
      <c r="BP547" t="s">
        <v>415</v>
      </c>
      <c r="BQ547" t="s">
        <v>673</v>
      </c>
      <c r="BS547" t="s">
        <v>219</v>
      </c>
      <c r="BT547" t="s">
        <v>220</v>
      </c>
      <c r="BU547" t="s">
        <v>206</v>
      </c>
      <c r="BX547" t="s">
        <v>221</v>
      </c>
      <c r="BY547" t="s">
        <v>221</v>
      </c>
      <c r="CA547" t="s">
        <v>287</v>
      </c>
      <c r="CC547" t="s">
        <v>224</v>
      </c>
      <c r="CD547" t="s">
        <v>223</v>
      </c>
      <c r="CE547" t="s">
        <v>242</v>
      </c>
      <c r="CJ547" t="s">
        <v>206</v>
      </c>
      <c r="CK547" t="s">
        <v>230</v>
      </c>
      <c r="CL547" t="s">
        <v>231</v>
      </c>
      <c r="CM547" t="s">
        <v>232</v>
      </c>
      <c r="CN547" t="s">
        <v>233</v>
      </c>
      <c r="CP547" t="s">
        <v>212</v>
      </c>
      <c r="CQ547" t="s">
        <v>212</v>
      </c>
      <c r="CR547" t="s">
        <v>212</v>
      </c>
      <c r="CS547" t="s">
        <v>212</v>
      </c>
      <c r="CY547" t="s">
        <v>212</v>
      </c>
      <c r="DB547" t="s">
        <v>234</v>
      </c>
      <c r="DE547" t="s">
        <v>212</v>
      </c>
      <c r="DF547" t="s">
        <v>212</v>
      </c>
      <c r="DG547" t="s">
        <v>235</v>
      </c>
      <c r="DH547" t="s">
        <v>212</v>
      </c>
      <c r="DJ547" t="s">
        <v>236</v>
      </c>
      <c r="DM547" t="s">
        <v>206</v>
      </c>
    </row>
    <row r="548" spans="1:117" x14ac:dyDescent="0.3">
      <c r="A548">
        <v>349850</v>
      </c>
      <c r="B548">
        <v>315988</v>
      </c>
      <c r="C548" t="str">
        <f>"101005652151"</f>
        <v>101005652151</v>
      </c>
      <c r="D548" t="s">
        <v>1234</v>
      </c>
      <c r="E548" t="s">
        <v>279</v>
      </c>
      <c r="F548" t="s">
        <v>1235</v>
      </c>
      <c r="G548" s="1">
        <v>40456</v>
      </c>
      <c r="I548" t="s">
        <v>199</v>
      </c>
      <c r="J548" t="s">
        <v>200</v>
      </c>
      <c r="K548" t="s">
        <v>369</v>
      </c>
      <c r="R548" t="str">
        <f>"КАЗАХСТАН, АКМОЛИНСКАЯ, СТЕПНОГОРСК, 15, 16"</f>
        <v>КАЗАХСТАН, АКМОЛИНСКАЯ, СТЕПНОГОРСК, 15, 16</v>
      </c>
      <c r="S548" t="str">
        <f>"ҚАЗАҚСТАН, АҚМОЛА, СТЕПНОГОР, 15, 16"</f>
        <v>ҚАЗАҚСТАН, АҚМОЛА, СТЕПНОГОР, 15, 16</v>
      </c>
      <c r="T548" t="str">
        <f>"15, 16"</f>
        <v>15, 16</v>
      </c>
      <c r="U548" t="str">
        <f>"15, 16"</f>
        <v>15, 16</v>
      </c>
      <c r="AC548" t="str">
        <f>"2017-08-29T00:00:00"</f>
        <v>2017-08-29T00:00:00</v>
      </c>
      <c r="AD548" t="str">
        <f>"112"</f>
        <v>112</v>
      </c>
      <c r="AG548" t="s">
        <v>202</v>
      </c>
      <c r="AI548" t="s">
        <v>274</v>
      </c>
      <c r="AJ548" t="s">
        <v>300</v>
      </c>
      <c r="AK548" t="s">
        <v>261</v>
      </c>
      <c r="AL548" t="s">
        <v>206</v>
      </c>
      <c r="AN548" t="s">
        <v>207</v>
      </c>
      <c r="AO548">
        <v>1</v>
      </c>
      <c r="AP548" t="s">
        <v>208</v>
      </c>
      <c r="AQ548" t="s">
        <v>209</v>
      </c>
      <c r="AR548" t="s">
        <v>210</v>
      </c>
      <c r="AW548" t="s">
        <v>206</v>
      </c>
      <c r="AX548" t="s">
        <v>211</v>
      </c>
      <c r="AZ548" t="s">
        <v>209</v>
      </c>
      <c r="BI548" t="s">
        <v>212</v>
      </c>
      <c r="BJ548" t="s">
        <v>213</v>
      </c>
      <c r="BK548" t="s">
        <v>214</v>
      </c>
      <c r="BL548" t="s">
        <v>215</v>
      </c>
      <c r="BN548" t="s">
        <v>247</v>
      </c>
      <c r="BO548" t="s">
        <v>209</v>
      </c>
      <c r="BP548" t="s">
        <v>241</v>
      </c>
      <c r="BQ548">
        <v>3</v>
      </c>
      <c r="BS548" t="s">
        <v>219</v>
      </c>
      <c r="BT548" t="s">
        <v>220</v>
      </c>
      <c r="BU548" t="s">
        <v>206</v>
      </c>
      <c r="BX548" t="s">
        <v>234</v>
      </c>
      <c r="BY548" t="s">
        <v>234</v>
      </c>
      <c r="CA548" t="s">
        <v>365</v>
      </c>
      <c r="CB548" t="s">
        <v>223</v>
      </c>
      <c r="CC548" t="s">
        <v>222</v>
      </c>
      <c r="CD548" t="s">
        <v>223</v>
      </c>
      <c r="CE548" t="s">
        <v>225</v>
      </c>
      <c r="CF548" t="s">
        <v>226</v>
      </c>
      <c r="CG548" t="s">
        <v>227</v>
      </c>
      <c r="CH548" t="s">
        <v>228</v>
      </c>
      <c r="CI548" t="s">
        <v>1583</v>
      </c>
      <c r="CJ548" t="s">
        <v>206</v>
      </c>
      <c r="CK548" t="s">
        <v>230</v>
      </c>
      <c r="CL548" t="s">
        <v>231</v>
      </c>
      <c r="CM548" t="s">
        <v>232</v>
      </c>
      <c r="CN548" t="s">
        <v>233</v>
      </c>
      <c r="CP548" t="s">
        <v>212</v>
      </c>
      <c r="CQ548" t="s">
        <v>212</v>
      </c>
      <c r="CR548" t="s">
        <v>212</v>
      </c>
      <c r="CS548" t="s">
        <v>212</v>
      </c>
      <c r="CY548" t="s">
        <v>212</v>
      </c>
      <c r="DB548" t="s">
        <v>234</v>
      </c>
      <c r="DE548" t="s">
        <v>212</v>
      </c>
      <c r="DF548" t="s">
        <v>212</v>
      </c>
      <c r="DG548" t="s">
        <v>235</v>
      </c>
      <c r="DH548" t="s">
        <v>212</v>
      </c>
      <c r="DJ548" t="s">
        <v>236</v>
      </c>
      <c r="DM548" t="s">
        <v>212</v>
      </c>
    </row>
    <row r="549" spans="1:117" x14ac:dyDescent="0.3">
      <c r="A549">
        <v>349836</v>
      </c>
      <c r="B549">
        <v>12730</v>
      </c>
      <c r="C549" t="str">
        <f>"080427553634"</f>
        <v>080427553634</v>
      </c>
      <c r="D549" t="s">
        <v>1584</v>
      </c>
      <c r="E549" t="s">
        <v>425</v>
      </c>
      <c r="F549" t="s">
        <v>239</v>
      </c>
      <c r="G549" s="1">
        <v>39565</v>
      </c>
      <c r="I549" t="s">
        <v>240</v>
      </c>
      <c r="J549" t="s">
        <v>200</v>
      </c>
      <c r="K549" t="s">
        <v>201</v>
      </c>
      <c r="R549" t="str">
        <f>"АНДОРРА, АКМОЛИНСКАЯ, СТЕПНОГОРСК, 28, 31"</f>
        <v>АНДОРРА, АКМОЛИНСКАЯ, СТЕПНОГОРСК, 28, 31</v>
      </c>
      <c r="S549" t="str">
        <f>"АНДОРРА, АҚМОЛА, СТЕПНОГОР, 28, 31"</f>
        <v>АНДОРРА, АҚМОЛА, СТЕПНОГОР, 28, 31</v>
      </c>
      <c r="T549" t="str">
        <f>"28, 31"</f>
        <v>28, 31</v>
      </c>
      <c r="U549" t="str">
        <f>"28, 31"</f>
        <v>28, 31</v>
      </c>
      <c r="AC549" t="str">
        <f>"2017-04-03T00:00:00"</f>
        <v>2017-04-03T00:00:00</v>
      </c>
      <c r="AD549" t="str">
        <f>"57"</f>
        <v>57</v>
      </c>
      <c r="AG549" t="s">
        <v>333</v>
      </c>
      <c r="AH549" t="str">
        <f>"ckool007@mail.ru"</f>
        <v>ckool007@mail.ru</v>
      </c>
      <c r="AI549" t="s">
        <v>274</v>
      </c>
      <c r="AJ549" t="s">
        <v>204</v>
      </c>
      <c r="AK549" t="s">
        <v>261</v>
      </c>
      <c r="AL549" t="s">
        <v>206</v>
      </c>
      <c r="AN549" t="s">
        <v>207</v>
      </c>
      <c r="AO549">
        <v>1</v>
      </c>
      <c r="AP549" t="s">
        <v>208</v>
      </c>
      <c r="AQ549" t="s">
        <v>209</v>
      </c>
      <c r="AR549" t="s">
        <v>210</v>
      </c>
      <c r="AW549" t="s">
        <v>206</v>
      </c>
      <c r="AX549" t="s">
        <v>211</v>
      </c>
      <c r="AZ549" t="s">
        <v>209</v>
      </c>
      <c r="BI549" t="s">
        <v>212</v>
      </c>
      <c r="BJ549" t="s">
        <v>213</v>
      </c>
      <c r="BK549" t="s">
        <v>214</v>
      </c>
      <c r="BL549" t="s">
        <v>215</v>
      </c>
      <c r="BN549" t="s">
        <v>247</v>
      </c>
      <c r="BO549" t="s">
        <v>209</v>
      </c>
      <c r="BP549" t="s">
        <v>241</v>
      </c>
      <c r="BQ549">
        <v>3</v>
      </c>
      <c r="BS549" t="s">
        <v>219</v>
      </c>
      <c r="BT549" t="s">
        <v>220</v>
      </c>
      <c r="BU549" t="s">
        <v>206</v>
      </c>
      <c r="BX549" t="s">
        <v>221</v>
      </c>
      <c r="BY549" t="s">
        <v>221</v>
      </c>
      <c r="CA549" t="s">
        <v>365</v>
      </c>
      <c r="CB549" t="s">
        <v>223</v>
      </c>
      <c r="CC549" t="s">
        <v>209</v>
      </c>
      <c r="CE549" t="s">
        <v>242</v>
      </c>
      <c r="CJ549" t="s">
        <v>206</v>
      </c>
      <c r="CK549" t="s">
        <v>230</v>
      </c>
      <c r="CL549" t="s">
        <v>231</v>
      </c>
      <c r="CM549" t="s">
        <v>232</v>
      </c>
      <c r="CN549" t="s">
        <v>233</v>
      </c>
      <c r="CP549" t="s">
        <v>212</v>
      </c>
      <c r="CQ549" t="s">
        <v>212</v>
      </c>
      <c r="CR549" t="s">
        <v>212</v>
      </c>
      <c r="CS549" t="s">
        <v>212</v>
      </c>
      <c r="CY549" t="s">
        <v>212</v>
      </c>
      <c r="DB549" t="s">
        <v>234</v>
      </c>
      <c r="DE549" t="s">
        <v>212</v>
      </c>
      <c r="DF549" t="s">
        <v>212</v>
      </c>
      <c r="DG549" t="s">
        <v>235</v>
      </c>
      <c r="DH549" t="s">
        <v>212</v>
      </c>
      <c r="DJ549" t="s">
        <v>236</v>
      </c>
      <c r="DM549" t="s">
        <v>212</v>
      </c>
    </row>
    <row r="550" spans="1:117" x14ac:dyDescent="0.3">
      <c r="A550">
        <v>349813</v>
      </c>
      <c r="B550">
        <v>315956</v>
      </c>
      <c r="C550" t="str">
        <f>"111120600939"</f>
        <v>111120600939</v>
      </c>
      <c r="D550" t="s">
        <v>1585</v>
      </c>
      <c r="E550" t="s">
        <v>789</v>
      </c>
      <c r="F550" t="s">
        <v>305</v>
      </c>
      <c r="G550" s="1">
        <v>40867</v>
      </c>
      <c r="I550" t="s">
        <v>199</v>
      </c>
      <c r="J550" t="s">
        <v>200</v>
      </c>
      <c r="K550" t="s">
        <v>260</v>
      </c>
      <c r="R550" t="str">
        <f>"КАЗАХСТАН, АКМОЛИНСКАЯ, СТЕПНОГОРСК, 12, 75"</f>
        <v>КАЗАХСТАН, АКМОЛИНСКАЯ, СТЕПНОГОРСК, 12, 75</v>
      </c>
      <c r="S550" t="str">
        <f>"ҚАЗАҚСТАН, АҚМОЛА, СТЕПНОГОР, 12, 75"</f>
        <v>ҚАЗАҚСТАН, АҚМОЛА, СТЕПНОГОР, 12, 75</v>
      </c>
      <c r="T550" t="str">
        <f>"12, 75"</f>
        <v>12, 75</v>
      </c>
      <c r="U550" t="str">
        <f>"12, 75"</f>
        <v>12, 75</v>
      </c>
      <c r="AC550" t="str">
        <f>"2018-08-29T00:00:00"</f>
        <v>2018-08-29T00:00:00</v>
      </c>
      <c r="AD550" t="str">
        <f>"140"</f>
        <v>140</v>
      </c>
      <c r="AE550" t="str">
        <f>"2023-09-01T17:26:26"</f>
        <v>2023-09-01T17:26:26</v>
      </c>
      <c r="AF550" t="str">
        <f>"2024-05-25T17:26:26"</f>
        <v>2024-05-25T17:26:26</v>
      </c>
      <c r="AG550" t="s">
        <v>202</v>
      </c>
      <c r="AI550" t="s">
        <v>203</v>
      </c>
      <c r="AJ550" t="s">
        <v>348</v>
      </c>
      <c r="AK550" t="s">
        <v>205</v>
      </c>
      <c r="AL550" t="s">
        <v>206</v>
      </c>
      <c r="AN550" t="s">
        <v>207</v>
      </c>
      <c r="AO550">
        <v>1</v>
      </c>
      <c r="AP550" t="s">
        <v>208</v>
      </c>
      <c r="AQ550" t="s">
        <v>209</v>
      </c>
      <c r="AR550" t="s">
        <v>210</v>
      </c>
      <c r="AW550" t="s">
        <v>206</v>
      </c>
      <c r="AX550" t="s">
        <v>211</v>
      </c>
      <c r="AZ550" t="s">
        <v>209</v>
      </c>
      <c r="BI550" t="s">
        <v>212</v>
      </c>
      <c r="BJ550" t="s">
        <v>213</v>
      </c>
      <c r="BK550" t="s">
        <v>214</v>
      </c>
      <c r="BL550" t="s">
        <v>215</v>
      </c>
      <c r="BN550" t="s">
        <v>247</v>
      </c>
      <c r="BO550" t="s">
        <v>209</v>
      </c>
      <c r="BP550" t="s">
        <v>241</v>
      </c>
      <c r="BQ550">
        <v>3</v>
      </c>
      <c r="BS550" t="s">
        <v>219</v>
      </c>
      <c r="BT550" t="s">
        <v>220</v>
      </c>
      <c r="BU550" t="s">
        <v>206</v>
      </c>
      <c r="BX550" t="s">
        <v>221</v>
      </c>
      <c r="BY550" t="s">
        <v>221</v>
      </c>
      <c r="CA550" t="s">
        <v>287</v>
      </c>
      <c r="CC550" t="s">
        <v>638</v>
      </c>
      <c r="CD550" t="s">
        <v>349</v>
      </c>
      <c r="CE550" t="s">
        <v>242</v>
      </c>
      <c r="CJ550" t="s">
        <v>206</v>
      </c>
      <c r="CK550" t="s">
        <v>230</v>
      </c>
      <c r="CL550" t="s">
        <v>231</v>
      </c>
      <c r="CM550" t="s">
        <v>232</v>
      </c>
      <c r="CN550" t="s">
        <v>233</v>
      </c>
      <c r="CP550" t="s">
        <v>212</v>
      </c>
      <c r="CQ550" t="s">
        <v>212</v>
      </c>
      <c r="CR550" t="s">
        <v>212</v>
      </c>
      <c r="CS550" t="s">
        <v>212</v>
      </c>
      <c r="CY550" t="s">
        <v>212</v>
      </c>
      <c r="DB550" t="s">
        <v>234</v>
      </c>
      <c r="DE550" t="s">
        <v>212</v>
      </c>
      <c r="DF550" t="s">
        <v>212</v>
      </c>
      <c r="DG550" t="s">
        <v>235</v>
      </c>
      <c r="DH550" t="s">
        <v>212</v>
      </c>
      <c r="DJ550" t="s">
        <v>236</v>
      </c>
      <c r="DM550" t="s">
        <v>206</v>
      </c>
    </row>
    <row r="551" spans="1:117" x14ac:dyDescent="0.3">
      <c r="A551">
        <v>349759</v>
      </c>
      <c r="B551">
        <v>315907</v>
      </c>
      <c r="C551" t="str">
        <f>"110122500990"</f>
        <v>110122500990</v>
      </c>
      <c r="D551" t="s">
        <v>1586</v>
      </c>
      <c r="E551" t="s">
        <v>376</v>
      </c>
      <c r="F551" t="s">
        <v>986</v>
      </c>
      <c r="G551" s="1">
        <v>40565</v>
      </c>
      <c r="I551" t="s">
        <v>240</v>
      </c>
      <c r="J551" t="s">
        <v>200</v>
      </c>
      <c r="K551" t="s">
        <v>260</v>
      </c>
      <c r="R551" t="str">
        <f>"КАЗАХСТАН, АКМОЛИНСКАЯ, СТЕПНОГОРСК, 80, 22"</f>
        <v>КАЗАХСТАН, АКМОЛИНСКАЯ, СТЕПНОГОРСК, 80, 22</v>
      </c>
      <c r="S551" t="str">
        <f>"ҚАЗАҚСТАН, АҚМОЛА, СТЕПНОГОР, 80, 22"</f>
        <v>ҚАЗАҚСТАН, АҚМОЛА, СТЕПНОГОР, 80, 22</v>
      </c>
      <c r="T551" t="str">
        <f>"80, 22"</f>
        <v>80, 22</v>
      </c>
      <c r="U551" t="str">
        <f>"80, 22"</f>
        <v>80, 22</v>
      </c>
      <c r="AC551" t="str">
        <f>"2018-08-29T00:00:00"</f>
        <v>2018-08-29T00:00:00</v>
      </c>
      <c r="AD551" t="str">
        <f>"140"</f>
        <v>140</v>
      </c>
      <c r="AG551" t="s">
        <v>202</v>
      </c>
      <c r="AI551" t="s">
        <v>203</v>
      </c>
      <c r="AJ551" t="s">
        <v>348</v>
      </c>
      <c r="AK551" t="s">
        <v>261</v>
      </c>
      <c r="AL551" t="s">
        <v>206</v>
      </c>
      <c r="AN551" t="s">
        <v>207</v>
      </c>
      <c r="AO551">
        <v>1</v>
      </c>
      <c r="AP551" t="s">
        <v>208</v>
      </c>
      <c r="AQ551" t="s">
        <v>209</v>
      </c>
      <c r="AR551" t="s">
        <v>307</v>
      </c>
      <c r="AW551" t="s">
        <v>206</v>
      </c>
      <c r="AX551" t="s">
        <v>211</v>
      </c>
      <c r="AZ551" t="s">
        <v>209</v>
      </c>
      <c r="BI551" t="s">
        <v>212</v>
      </c>
      <c r="BJ551" t="s">
        <v>213</v>
      </c>
      <c r="BK551" t="s">
        <v>214</v>
      </c>
      <c r="BL551" t="s">
        <v>215</v>
      </c>
      <c r="BN551" t="s">
        <v>247</v>
      </c>
      <c r="BO551" t="s">
        <v>209</v>
      </c>
      <c r="BP551" t="s">
        <v>415</v>
      </c>
      <c r="BQ551" t="s">
        <v>673</v>
      </c>
      <c r="BS551" t="s">
        <v>219</v>
      </c>
      <c r="BT551" t="s">
        <v>220</v>
      </c>
      <c r="BU551" t="s">
        <v>206</v>
      </c>
      <c r="BX551" t="s">
        <v>221</v>
      </c>
      <c r="BY551" t="s">
        <v>221</v>
      </c>
      <c r="CA551" t="s">
        <v>222</v>
      </c>
      <c r="CB551" t="s">
        <v>223</v>
      </c>
      <c r="CC551" t="s">
        <v>222</v>
      </c>
      <c r="CD551" t="s">
        <v>223</v>
      </c>
      <c r="CE551" t="s">
        <v>242</v>
      </c>
      <c r="CJ551" t="s">
        <v>206</v>
      </c>
      <c r="CK551" t="s">
        <v>230</v>
      </c>
      <c r="CL551" t="s">
        <v>231</v>
      </c>
      <c r="CM551" t="s">
        <v>232</v>
      </c>
      <c r="CN551" t="s">
        <v>233</v>
      </c>
      <c r="CP551" t="s">
        <v>212</v>
      </c>
      <c r="CQ551" t="s">
        <v>212</v>
      </c>
      <c r="CR551" t="s">
        <v>212</v>
      </c>
      <c r="CS551" t="s">
        <v>212</v>
      </c>
      <c r="CY551" t="s">
        <v>212</v>
      </c>
      <c r="DB551" t="s">
        <v>234</v>
      </c>
      <c r="DE551" t="s">
        <v>212</v>
      </c>
      <c r="DF551" t="s">
        <v>212</v>
      </c>
      <c r="DG551" t="s">
        <v>235</v>
      </c>
      <c r="DH551" t="s">
        <v>212</v>
      </c>
      <c r="DJ551" t="s">
        <v>236</v>
      </c>
      <c r="DM551" t="s">
        <v>212</v>
      </c>
    </row>
    <row r="552" spans="1:117" x14ac:dyDescent="0.3">
      <c r="A552">
        <v>349731</v>
      </c>
      <c r="B552">
        <v>315885</v>
      </c>
      <c r="C552" t="str">
        <f>"110117500587"</f>
        <v>110117500587</v>
      </c>
      <c r="D552" t="s">
        <v>1587</v>
      </c>
      <c r="E552" t="s">
        <v>258</v>
      </c>
      <c r="F552" t="s">
        <v>259</v>
      </c>
      <c r="G552" s="1">
        <v>40560</v>
      </c>
      <c r="I552" t="s">
        <v>240</v>
      </c>
      <c r="J552" t="s">
        <v>200</v>
      </c>
      <c r="K552" t="s">
        <v>260</v>
      </c>
      <c r="Q552" t="s">
        <v>212</v>
      </c>
      <c r="R552" t="str">
        <f>"КАЗАХСТАН, АКМОЛИНСКАЯ, СТЕПНОГОРСК, СТЕПНОГОРСК, 20/2, 15"</f>
        <v>КАЗАХСТАН, АКМОЛИНСКАЯ, СТЕПНОГОРСК, СТЕПНОГОРСК, 20/2, 15</v>
      </c>
      <c r="S552" t="str">
        <f>"ҚАЗАҚСТАН, АҚМОЛА, СТЕПНОГОР, СТЕПНОГОРСК, 20/2, 15"</f>
        <v>ҚАЗАҚСТАН, АҚМОЛА, СТЕПНОГОР, СТЕПНОГОРСК, 20/2, 15</v>
      </c>
      <c r="T552" t="str">
        <f>"СТЕПНОГОРСК, 20/2, 15"</f>
        <v>СТЕПНОГОРСК, 20/2, 15</v>
      </c>
      <c r="U552" t="str">
        <f>"СТЕПНОГОРСК, 20/2, 15"</f>
        <v>СТЕПНОГОРСК, 20/2, 15</v>
      </c>
      <c r="AC552" t="str">
        <f>"2017-08-29T00:00:00"</f>
        <v>2017-08-29T00:00:00</v>
      </c>
      <c r="AD552" t="str">
        <f>"112"</f>
        <v>112</v>
      </c>
      <c r="AG552" t="s">
        <v>202</v>
      </c>
      <c r="AI552" t="s">
        <v>299</v>
      </c>
      <c r="AJ552" t="s">
        <v>300</v>
      </c>
      <c r="AK552" t="s">
        <v>205</v>
      </c>
      <c r="AL552" t="s">
        <v>206</v>
      </c>
      <c r="AN552" t="s">
        <v>207</v>
      </c>
      <c r="AO552">
        <v>1</v>
      </c>
      <c r="AP552" t="s">
        <v>208</v>
      </c>
      <c r="AQ552" t="s">
        <v>209</v>
      </c>
      <c r="AR552" t="s">
        <v>210</v>
      </c>
      <c r="AW552" t="s">
        <v>206</v>
      </c>
      <c r="AX552" t="s">
        <v>211</v>
      </c>
      <c r="AZ552" t="s">
        <v>209</v>
      </c>
      <c r="BI552" t="s">
        <v>212</v>
      </c>
      <c r="BJ552" t="s">
        <v>213</v>
      </c>
      <c r="BK552" t="s">
        <v>214</v>
      </c>
      <c r="BL552" t="s">
        <v>215</v>
      </c>
      <c r="BN552" t="s">
        <v>216</v>
      </c>
      <c r="BO552" t="s">
        <v>209</v>
      </c>
      <c r="BP552" t="s">
        <v>241</v>
      </c>
      <c r="BQ552">
        <v>4</v>
      </c>
      <c r="BS552" t="s">
        <v>219</v>
      </c>
      <c r="BT552" t="s">
        <v>220</v>
      </c>
      <c r="BU552" t="s">
        <v>206</v>
      </c>
      <c r="BX552" t="s">
        <v>221</v>
      </c>
      <c r="BY552" t="s">
        <v>221</v>
      </c>
      <c r="CA552" t="s">
        <v>222</v>
      </c>
      <c r="CB552" t="s">
        <v>223</v>
      </c>
      <c r="CC552" t="s">
        <v>222</v>
      </c>
      <c r="CD552" t="s">
        <v>223</v>
      </c>
      <c r="CE552" t="s">
        <v>242</v>
      </c>
      <c r="CJ552" t="s">
        <v>206</v>
      </c>
      <c r="CK552" t="s">
        <v>230</v>
      </c>
      <c r="CL552" t="s">
        <v>231</v>
      </c>
      <c r="CM552" t="s">
        <v>232</v>
      </c>
      <c r="CN552" t="s">
        <v>233</v>
      </c>
      <c r="CP552" t="s">
        <v>212</v>
      </c>
      <c r="CQ552" t="s">
        <v>212</v>
      </c>
      <c r="CR552" t="s">
        <v>212</v>
      </c>
      <c r="CS552" t="s">
        <v>212</v>
      </c>
      <c r="CY552" t="s">
        <v>212</v>
      </c>
      <c r="DB552" t="s">
        <v>234</v>
      </c>
      <c r="DE552" t="s">
        <v>212</v>
      </c>
      <c r="DF552" t="s">
        <v>212</v>
      </c>
      <c r="DG552" t="s">
        <v>235</v>
      </c>
      <c r="DH552" t="s">
        <v>212</v>
      </c>
      <c r="DJ552" t="s">
        <v>236</v>
      </c>
      <c r="DM552" t="s">
        <v>212</v>
      </c>
    </row>
    <row r="553" spans="1:117" x14ac:dyDescent="0.3">
      <c r="A553">
        <v>349555</v>
      </c>
      <c r="B553">
        <v>178592</v>
      </c>
      <c r="C553" t="str">
        <f>"110823501365"</f>
        <v>110823501365</v>
      </c>
      <c r="D553" t="s">
        <v>1588</v>
      </c>
      <c r="E553" t="s">
        <v>548</v>
      </c>
      <c r="F553" t="s">
        <v>1589</v>
      </c>
      <c r="G553" s="1">
        <v>40778</v>
      </c>
      <c r="I553" t="s">
        <v>240</v>
      </c>
      <c r="J553" t="s">
        <v>200</v>
      </c>
      <c r="K553" t="s">
        <v>201</v>
      </c>
      <c r="R553" t="str">
        <f>"КАЗАХСТАН, АКМОЛИНСКАЯ, СТЕПНОГОРСК, 21, 64"</f>
        <v>КАЗАХСТАН, АКМОЛИНСКАЯ, СТЕПНОГОРСК, 21, 64</v>
      </c>
      <c r="S553" t="str">
        <f>"ҚАЗАҚСТАН, АҚМОЛА, СТЕПНОГОР, 21, 64"</f>
        <v>ҚАЗАҚСТАН, АҚМОЛА, СТЕПНОГОР, 21, 64</v>
      </c>
      <c r="T553" t="str">
        <f>"21, 64"</f>
        <v>21, 64</v>
      </c>
      <c r="U553" t="str">
        <f>"21, 64"</f>
        <v>21, 64</v>
      </c>
      <c r="AC553" t="str">
        <f>"2018-09-03T00:00:00"</f>
        <v>2018-09-03T00:00:00</v>
      </c>
      <c r="AD553" t="str">
        <f>"4"</f>
        <v>4</v>
      </c>
      <c r="AG553" t="s">
        <v>202</v>
      </c>
      <c r="AI553" t="s">
        <v>274</v>
      </c>
      <c r="AJ553" t="s">
        <v>348</v>
      </c>
      <c r="AK553" t="s">
        <v>253</v>
      </c>
      <c r="AL553" t="s">
        <v>206</v>
      </c>
      <c r="AN553" t="s">
        <v>254</v>
      </c>
      <c r="AO553">
        <v>1</v>
      </c>
      <c r="AP553" t="s">
        <v>208</v>
      </c>
      <c r="AQ553" t="s">
        <v>209</v>
      </c>
      <c r="AR553" t="s">
        <v>210</v>
      </c>
      <c r="AW553" t="s">
        <v>206</v>
      </c>
      <c r="AX553" t="s">
        <v>211</v>
      </c>
      <c r="AZ553" t="s">
        <v>209</v>
      </c>
      <c r="BI553" t="s">
        <v>212</v>
      </c>
      <c r="BJ553" t="s">
        <v>213</v>
      </c>
      <c r="BK553" t="s">
        <v>214</v>
      </c>
      <c r="BL553" t="s">
        <v>215</v>
      </c>
      <c r="BN553" t="s">
        <v>216</v>
      </c>
      <c r="BO553" t="s">
        <v>209</v>
      </c>
      <c r="BP553" t="s">
        <v>241</v>
      </c>
      <c r="BQ553">
        <v>4</v>
      </c>
      <c r="BS553" t="s">
        <v>219</v>
      </c>
      <c r="BT553" t="s">
        <v>220</v>
      </c>
      <c r="BU553" t="s">
        <v>206</v>
      </c>
      <c r="BX553" t="s">
        <v>221</v>
      </c>
      <c r="BY553" t="s">
        <v>221</v>
      </c>
      <c r="CA553" t="s">
        <v>256</v>
      </c>
      <c r="CB553" t="s">
        <v>223</v>
      </c>
      <c r="CC553" t="s">
        <v>222</v>
      </c>
      <c r="CD553" t="s">
        <v>223</v>
      </c>
      <c r="CE553" t="s">
        <v>225</v>
      </c>
      <c r="CF553" t="s">
        <v>226</v>
      </c>
      <c r="CG553" t="s">
        <v>227</v>
      </c>
      <c r="CH553" t="s">
        <v>228</v>
      </c>
      <c r="CI553" t="s">
        <v>1590</v>
      </c>
      <c r="CJ553" t="s">
        <v>206</v>
      </c>
      <c r="CK553" t="s">
        <v>474</v>
      </c>
      <c r="CL553" t="s">
        <v>1591</v>
      </c>
      <c r="CM553" t="s">
        <v>476</v>
      </c>
      <c r="CN553" t="s">
        <v>233</v>
      </c>
      <c r="CP553" t="s">
        <v>212</v>
      </c>
      <c r="CQ553" t="s">
        <v>212</v>
      </c>
      <c r="CR553" t="s">
        <v>212</v>
      </c>
      <c r="CS553" t="s">
        <v>212</v>
      </c>
      <c r="CY553" t="s">
        <v>212</v>
      </c>
      <c r="DB553" t="s">
        <v>234</v>
      </c>
      <c r="DE553" t="s">
        <v>212</v>
      </c>
      <c r="DF553" t="s">
        <v>212</v>
      </c>
      <c r="DG553" t="s">
        <v>235</v>
      </c>
      <c r="DH553" t="s">
        <v>212</v>
      </c>
      <c r="DJ553" t="s">
        <v>236</v>
      </c>
      <c r="DM553" t="s">
        <v>206</v>
      </c>
    </row>
    <row r="554" spans="1:117" x14ac:dyDescent="0.3">
      <c r="A554">
        <v>349227</v>
      </c>
      <c r="B554">
        <v>315470</v>
      </c>
      <c r="C554" t="str">
        <f>"101107502173"</f>
        <v>101107502173</v>
      </c>
      <c r="D554" t="s">
        <v>1592</v>
      </c>
      <c r="E554" t="s">
        <v>1016</v>
      </c>
      <c r="F554" t="s">
        <v>1593</v>
      </c>
      <c r="G554" s="1">
        <v>40489</v>
      </c>
      <c r="I554" t="s">
        <v>240</v>
      </c>
      <c r="J554" t="s">
        <v>200</v>
      </c>
      <c r="K554" t="s">
        <v>201</v>
      </c>
      <c r="R554" t="str">
        <f>"АНДОРРА, АКМОЛИНСКАЯ, СТЕПНОГОРСК, 19, 90"</f>
        <v>АНДОРРА, АКМОЛИНСКАЯ, СТЕПНОГОРСК, 19, 90</v>
      </c>
      <c r="S554" t="str">
        <f>"АНДОРРА, АҚМОЛА, СТЕПНОГОР, 19, 90"</f>
        <v>АНДОРРА, АҚМОЛА, СТЕПНОГОР, 19, 90</v>
      </c>
      <c r="T554" t="str">
        <f>"19, 90"</f>
        <v>19, 90</v>
      </c>
      <c r="U554" t="str">
        <f>"19, 90"</f>
        <v>19, 90</v>
      </c>
      <c r="AC554" t="str">
        <f>"2017-08-29T00:00:00"</f>
        <v>2017-08-29T00:00:00</v>
      </c>
      <c r="AD554" t="str">
        <f>"112"</f>
        <v>112</v>
      </c>
      <c r="AG554" t="s">
        <v>202</v>
      </c>
      <c r="AI554" t="s">
        <v>274</v>
      </c>
      <c r="AJ554" t="s">
        <v>300</v>
      </c>
      <c r="AK554" t="s">
        <v>253</v>
      </c>
      <c r="AL554" t="s">
        <v>206</v>
      </c>
      <c r="AN554" t="s">
        <v>254</v>
      </c>
      <c r="AO554">
        <v>1</v>
      </c>
      <c r="AP554" t="s">
        <v>208</v>
      </c>
      <c r="AQ554" t="s">
        <v>209</v>
      </c>
      <c r="AR554" t="s">
        <v>210</v>
      </c>
      <c r="AW554" t="s">
        <v>206</v>
      </c>
      <c r="AX554" t="s">
        <v>211</v>
      </c>
      <c r="AZ554" t="s">
        <v>209</v>
      </c>
      <c r="BI554" t="s">
        <v>212</v>
      </c>
      <c r="BJ554" t="s">
        <v>213</v>
      </c>
      <c r="BK554" t="s">
        <v>214</v>
      </c>
      <c r="BL554" t="s">
        <v>215</v>
      </c>
      <c r="BN554" t="s">
        <v>247</v>
      </c>
      <c r="BO554" t="s">
        <v>209</v>
      </c>
      <c r="BP554" t="s">
        <v>241</v>
      </c>
      <c r="BQ554">
        <v>3</v>
      </c>
      <c r="BS554" t="s">
        <v>219</v>
      </c>
      <c r="BT554" t="s">
        <v>220</v>
      </c>
      <c r="BU554" t="s">
        <v>206</v>
      </c>
      <c r="BX554" t="s">
        <v>221</v>
      </c>
      <c r="BY554" t="s">
        <v>221</v>
      </c>
      <c r="CA554" t="s">
        <v>222</v>
      </c>
      <c r="CB554" t="s">
        <v>223</v>
      </c>
      <c r="CC554" t="s">
        <v>222</v>
      </c>
      <c r="CD554" t="s">
        <v>223</v>
      </c>
      <c r="CE554" t="s">
        <v>242</v>
      </c>
      <c r="CJ554" t="s">
        <v>206</v>
      </c>
      <c r="CK554" t="s">
        <v>230</v>
      </c>
      <c r="CL554" t="s">
        <v>231</v>
      </c>
      <c r="CM554" t="s">
        <v>232</v>
      </c>
      <c r="CN554" t="s">
        <v>233</v>
      </c>
      <c r="CP554" t="s">
        <v>212</v>
      </c>
      <c r="CQ554" t="s">
        <v>212</v>
      </c>
      <c r="CR554" t="s">
        <v>212</v>
      </c>
      <c r="CS554" t="s">
        <v>212</v>
      </c>
      <c r="CY554" t="s">
        <v>212</v>
      </c>
      <c r="DB554" t="s">
        <v>234</v>
      </c>
      <c r="DE554" t="s">
        <v>212</v>
      </c>
      <c r="DF554" t="s">
        <v>212</v>
      </c>
      <c r="DG554" t="s">
        <v>235</v>
      </c>
      <c r="DH554" t="s">
        <v>212</v>
      </c>
      <c r="DJ554" t="s">
        <v>236</v>
      </c>
      <c r="DM554" t="s">
        <v>212</v>
      </c>
    </row>
    <row r="555" spans="1:117" x14ac:dyDescent="0.3">
      <c r="A555">
        <v>349193</v>
      </c>
      <c r="B555">
        <v>315431</v>
      </c>
      <c r="C555" t="str">
        <f>"101014651519"</f>
        <v>101014651519</v>
      </c>
      <c r="D555" t="s">
        <v>1594</v>
      </c>
      <c r="E555" t="s">
        <v>279</v>
      </c>
      <c r="F555" t="s">
        <v>1595</v>
      </c>
      <c r="G555" s="1">
        <v>40465</v>
      </c>
      <c r="I555" t="s">
        <v>199</v>
      </c>
      <c r="J555" t="s">
        <v>200</v>
      </c>
      <c r="K555" t="s">
        <v>201</v>
      </c>
      <c r="R555" t="str">
        <f>"КАЗАХСТАН, АКМОЛИНСКАЯ, СТЕПНОГОРСК, 86, 94"</f>
        <v>КАЗАХСТАН, АКМОЛИНСКАЯ, СТЕПНОГОРСК, 86, 94</v>
      </c>
      <c r="S555" t="str">
        <f>"ҚАЗАҚСТАН, АҚМОЛА, СТЕПНОГОР, 86, 94"</f>
        <v>ҚАЗАҚСТАН, АҚМОЛА, СТЕПНОГОР, 86, 94</v>
      </c>
      <c r="T555" t="str">
        <f>"86, 94"</f>
        <v>86, 94</v>
      </c>
      <c r="U555" t="str">
        <f>"86, 94"</f>
        <v>86, 94</v>
      </c>
      <c r="AC555" t="str">
        <f>"2017-08-29T00:00:00"</f>
        <v>2017-08-29T00:00:00</v>
      </c>
      <c r="AD555" t="str">
        <f>"112"</f>
        <v>112</v>
      </c>
      <c r="AG555" t="s">
        <v>202</v>
      </c>
      <c r="AI555" t="s">
        <v>269</v>
      </c>
      <c r="AJ555" t="s">
        <v>300</v>
      </c>
      <c r="AK555" t="s">
        <v>205</v>
      </c>
      <c r="AL555" t="s">
        <v>206</v>
      </c>
      <c r="AN555" t="s">
        <v>207</v>
      </c>
      <c r="AO555">
        <v>1</v>
      </c>
      <c r="AP555" t="s">
        <v>208</v>
      </c>
      <c r="AQ555" t="s">
        <v>209</v>
      </c>
      <c r="AR555" t="s">
        <v>210</v>
      </c>
      <c r="AW555" t="s">
        <v>206</v>
      </c>
      <c r="AX555" t="s">
        <v>211</v>
      </c>
      <c r="AZ555" t="s">
        <v>209</v>
      </c>
      <c r="BI555" t="s">
        <v>212</v>
      </c>
      <c r="BJ555" t="s">
        <v>213</v>
      </c>
      <c r="BK555" t="s">
        <v>214</v>
      </c>
      <c r="BL555" t="s">
        <v>215</v>
      </c>
      <c r="BN555" t="s">
        <v>216</v>
      </c>
      <c r="BO555" t="s">
        <v>209</v>
      </c>
      <c r="BP555" t="s">
        <v>241</v>
      </c>
      <c r="BQ555">
        <v>4</v>
      </c>
      <c r="BS555" t="s">
        <v>219</v>
      </c>
      <c r="BT555" t="s">
        <v>220</v>
      </c>
      <c r="BU555" t="s">
        <v>206</v>
      </c>
      <c r="BX555" t="s">
        <v>221</v>
      </c>
      <c r="BY555" t="s">
        <v>221</v>
      </c>
      <c r="CA555" t="s">
        <v>222</v>
      </c>
      <c r="CB555" t="s">
        <v>223</v>
      </c>
      <c r="CC555" t="s">
        <v>222</v>
      </c>
      <c r="CD555" t="s">
        <v>223</v>
      </c>
      <c r="CE555" t="s">
        <v>242</v>
      </c>
      <c r="CJ555" t="s">
        <v>206</v>
      </c>
      <c r="CK555" t="s">
        <v>230</v>
      </c>
      <c r="CL555" t="s">
        <v>231</v>
      </c>
      <c r="CM555" t="s">
        <v>232</v>
      </c>
      <c r="CN555" t="s">
        <v>233</v>
      </c>
      <c r="CP555" t="s">
        <v>212</v>
      </c>
      <c r="CQ555" t="s">
        <v>212</v>
      </c>
      <c r="CR555" t="s">
        <v>212</v>
      </c>
      <c r="CS555" t="s">
        <v>212</v>
      </c>
      <c r="CY555" t="s">
        <v>212</v>
      </c>
      <c r="DB555" t="s">
        <v>234</v>
      </c>
      <c r="DE555" t="s">
        <v>212</v>
      </c>
      <c r="DF555" t="s">
        <v>212</v>
      </c>
      <c r="DG555" t="s">
        <v>235</v>
      </c>
      <c r="DH555" t="s">
        <v>212</v>
      </c>
      <c r="DJ555" t="s">
        <v>236</v>
      </c>
      <c r="DM555" t="s">
        <v>212</v>
      </c>
    </row>
    <row r="556" spans="1:117" x14ac:dyDescent="0.3">
      <c r="A556">
        <v>349162</v>
      </c>
      <c r="B556">
        <v>315404</v>
      </c>
      <c r="C556" t="str">
        <f>"110831601216"</f>
        <v>110831601216</v>
      </c>
      <c r="D556" t="s">
        <v>1596</v>
      </c>
      <c r="E556" t="s">
        <v>996</v>
      </c>
      <c r="F556" t="s">
        <v>1178</v>
      </c>
      <c r="G556" s="1">
        <v>40786</v>
      </c>
      <c r="I556" t="s">
        <v>199</v>
      </c>
      <c r="J556" t="s">
        <v>200</v>
      </c>
      <c r="K556" t="s">
        <v>201</v>
      </c>
      <c r="R556" t="str">
        <f>"КАЗАХСТАН, АКМОЛИНСКАЯ, СТЕПНОГОРСК, 16, 12"</f>
        <v>КАЗАХСТАН, АКМОЛИНСКАЯ, СТЕПНОГОРСК, 16, 12</v>
      </c>
      <c r="S556" t="str">
        <f>"ҚАЗАҚСТАН, АҚМОЛА, СТЕПНОГОР, 16, 12"</f>
        <v>ҚАЗАҚСТАН, АҚМОЛА, СТЕПНОГОР, 16, 12</v>
      </c>
      <c r="T556" t="str">
        <f>"16, 12"</f>
        <v>16, 12</v>
      </c>
      <c r="U556" t="str">
        <f>"16, 12"</f>
        <v>16, 12</v>
      </c>
      <c r="AC556" t="str">
        <f>"2018-08-29T00:00:00"</f>
        <v>2018-08-29T00:00:00</v>
      </c>
      <c r="AD556" t="str">
        <f>"140"</f>
        <v>140</v>
      </c>
      <c r="AG556" t="s">
        <v>202</v>
      </c>
      <c r="AI556" t="s">
        <v>269</v>
      </c>
      <c r="AJ556" t="s">
        <v>348</v>
      </c>
      <c r="AK556" t="s">
        <v>261</v>
      </c>
      <c r="AL556" t="s">
        <v>206</v>
      </c>
      <c r="AN556" t="s">
        <v>207</v>
      </c>
      <c r="AO556">
        <v>1</v>
      </c>
      <c r="AP556" t="s">
        <v>208</v>
      </c>
      <c r="AQ556" t="s">
        <v>209</v>
      </c>
      <c r="AR556" t="s">
        <v>307</v>
      </c>
      <c r="AW556" t="s">
        <v>206</v>
      </c>
      <c r="AX556" t="s">
        <v>211</v>
      </c>
      <c r="AZ556" t="s">
        <v>209</v>
      </c>
      <c r="BI556" t="s">
        <v>212</v>
      </c>
      <c r="BJ556" t="s">
        <v>213</v>
      </c>
      <c r="BK556" t="s">
        <v>214</v>
      </c>
      <c r="BL556" t="s">
        <v>215</v>
      </c>
      <c r="BN556" t="s">
        <v>216</v>
      </c>
      <c r="BO556" t="s">
        <v>209</v>
      </c>
      <c r="BP556" t="s">
        <v>241</v>
      </c>
      <c r="BQ556">
        <v>5</v>
      </c>
      <c r="BS556" t="s">
        <v>219</v>
      </c>
      <c r="BT556" t="s">
        <v>220</v>
      </c>
      <c r="BU556" t="s">
        <v>206</v>
      </c>
      <c r="BX556" t="s">
        <v>221</v>
      </c>
      <c r="BY556" t="s">
        <v>221</v>
      </c>
      <c r="CA556" t="s">
        <v>222</v>
      </c>
      <c r="CB556" t="s">
        <v>223</v>
      </c>
      <c r="CC556" t="s">
        <v>353</v>
      </c>
      <c r="CD556" t="s">
        <v>223</v>
      </c>
      <c r="CE556" t="s">
        <v>242</v>
      </c>
      <c r="CJ556" t="s">
        <v>206</v>
      </c>
      <c r="CK556" t="s">
        <v>230</v>
      </c>
      <c r="CL556" t="s">
        <v>231</v>
      </c>
      <c r="CM556" t="s">
        <v>232</v>
      </c>
      <c r="CN556" t="s">
        <v>233</v>
      </c>
      <c r="CP556" t="s">
        <v>212</v>
      </c>
      <c r="CQ556" t="s">
        <v>212</v>
      </c>
      <c r="CR556" t="s">
        <v>212</v>
      </c>
      <c r="CS556" t="s">
        <v>212</v>
      </c>
      <c r="CY556" t="s">
        <v>212</v>
      </c>
      <c r="DB556" t="s">
        <v>234</v>
      </c>
      <c r="DE556" t="s">
        <v>212</v>
      </c>
      <c r="DF556" t="s">
        <v>212</v>
      </c>
      <c r="DG556" t="s">
        <v>235</v>
      </c>
      <c r="DH556" t="s">
        <v>212</v>
      </c>
      <c r="DJ556" t="s">
        <v>236</v>
      </c>
      <c r="DM556" t="s">
        <v>212</v>
      </c>
    </row>
    <row r="557" spans="1:117" x14ac:dyDescent="0.3">
      <c r="A557">
        <v>349062</v>
      </c>
      <c r="B557">
        <v>315320</v>
      </c>
      <c r="C557" t="str">
        <f>"110213601137"</f>
        <v>110213601137</v>
      </c>
      <c r="D557" t="s">
        <v>864</v>
      </c>
      <c r="E557" t="s">
        <v>560</v>
      </c>
      <c r="F557" t="s">
        <v>267</v>
      </c>
      <c r="G557" s="1">
        <v>40587</v>
      </c>
      <c r="I557" t="s">
        <v>199</v>
      </c>
      <c r="J557" t="s">
        <v>200</v>
      </c>
      <c r="K557" t="s">
        <v>260</v>
      </c>
      <c r="R557" t="str">
        <f>"КАЗАХСТАН, АКМОЛИНСКАЯ, СТЕПНОГОРСК, 19, 46"</f>
        <v>КАЗАХСТАН, АКМОЛИНСКАЯ, СТЕПНОГОРСК, 19, 46</v>
      </c>
      <c r="S557" t="str">
        <f>"ҚАЗАҚСТАН, АҚМОЛА, СТЕПНОГОР, 19, 46"</f>
        <v>ҚАЗАҚСТАН, АҚМОЛА, СТЕПНОГОР, 19, 46</v>
      </c>
      <c r="T557" t="str">
        <f>"19, 46"</f>
        <v>19, 46</v>
      </c>
      <c r="U557" t="str">
        <f>"19, 46"</f>
        <v>19, 46</v>
      </c>
      <c r="AC557" t="str">
        <f>"2017-08-29T00:00:00"</f>
        <v>2017-08-29T00:00:00</v>
      </c>
      <c r="AD557" t="str">
        <f>"112"</f>
        <v>112</v>
      </c>
      <c r="AG557" t="s">
        <v>202</v>
      </c>
      <c r="AI557" t="s">
        <v>274</v>
      </c>
      <c r="AJ557" t="s">
        <v>300</v>
      </c>
      <c r="AK557" t="s">
        <v>205</v>
      </c>
      <c r="AL557" t="s">
        <v>206</v>
      </c>
      <c r="AN557" t="s">
        <v>207</v>
      </c>
      <c r="AO557">
        <v>1</v>
      </c>
      <c r="AP557" t="s">
        <v>208</v>
      </c>
      <c r="AQ557" t="s">
        <v>209</v>
      </c>
      <c r="AR557" t="s">
        <v>210</v>
      </c>
      <c r="AW557" t="s">
        <v>206</v>
      </c>
      <c r="AX557" t="s">
        <v>211</v>
      </c>
      <c r="AZ557" t="s">
        <v>209</v>
      </c>
      <c r="BI557" t="s">
        <v>212</v>
      </c>
      <c r="BJ557" t="s">
        <v>213</v>
      </c>
      <c r="BK557" t="s">
        <v>214</v>
      </c>
      <c r="BL557" t="s">
        <v>215</v>
      </c>
      <c r="BN557" t="s">
        <v>216</v>
      </c>
      <c r="BO557" t="s">
        <v>209</v>
      </c>
      <c r="BP557" t="s">
        <v>241</v>
      </c>
      <c r="BQ557">
        <v>4</v>
      </c>
      <c r="BS557" t="s">
        <v>219</v>
      </c>
      <c r="BT557" t="s">
        <v>220</v>
      </c>
      <c r="BU557" t="s">
        <v>206</v>
      </c>
      <c r="BX557" t="s">
        <v>221</v>
      </c>
      <c r="BY557" t="s">
        <v>221</v>
      </c>
      <c r="CA557" t="s">
        <v>222</v>
      </c>
      <c r="CB557" t="s">
        <v>223</v>
      </c>
      <c r="CC557" t="s">
        <v>222</v>
      </c>
      <c r="CD557" t="s">
        <v>223</v>
      </c>
      <c r="CE557" t="s">
        <v>242</v>
      </c>
      <c r="CJ557" t="s">
        <v>206</v>
      </c>
      <c r="CK557" t="s">
        <v>230</v>
      </c>
      <c r="CL557" t="s">
        <v>231</v>
      </c>
      <c r="CM557" t="s">
        <v>232</v>
      </c>
      <c r="CN557" t="s">
        <v>233</v>
      </c>
      <c r="CP557" t="s">
        <v>212</v>
      </c>
      <c r="CQ557" t="s">
        <v>212</v>
      </c>
      <c r="CR557" t="s">
        <v>212</v>
      </c>
      <c r="CS557" t="s">
        <v>212</v>
      </c>
      <c r="CY557" t="s">
        <v>212</v>
      </c>
      <c r="DB557" t="s">
        <v>234</v>
      </c>
      <c r="DE557" t="s">
        <v>212</v>
      </c>
      <c r="DF557" t="s">
        <v>212</v>
      </c>
      <c r="DG557" t="s">
        <v>235</v>
      </c>
      <c r="DH557" t="s">
        <v>212</v>
      </c>
      <c r="DJ557" t="s">
        <v>236</v>
      </c>
      <c r="DM557" t="s">
        <v>212</v>
      </c>
    </row>
    <row r="558" spans="1:117" x14ac:dyDescent="0.3">
      <c r="A558">
        <v>349032</v>
      </c>
      <c r="B558">
        <v>315296</v>
      </c>
      <c r="C558" t="str">
        <f>"101201601330"</f>
        <v>101201601330</v>
      </c>
      <c r="D558" t="s">
        <v>1597</v>
      </c>
      <c r="E558" t="s">
        <v>740</v>
      </c>
      <c r="F558" t="s">
        <v>418</v>
      </c>
      <c r="G558" s="1">
        <v>40513</v>
      </c>
      <c r="I558" t="s">
        <v>199</v>
      </c>
      <c r="J558" t="s">
        <v>200</v>
      </c>
      <c r="K558" t="s">
        <v>201</v>
      </c>
      <c r="R558" t="str">
        <f>"КАЗАХСТАН, АКМОЛИНСКАЯ, СТЕПНОГОРСК, 30, 84"</f>
        <v>КАЗАХСТАН, АКМОЛИНСКАЯ, СТЕПНОГОРСК, 30, 84</v>
      </c>
      <c r="S558" t="str">
        <f>"ҚАЗАҚСТАН, АҚМОЛА, СТЕПНОГОР, 30, 84"</f>
        <v>ҚАЗАҚСТАН, АҚМОЛА, СТЕПНОГОР, 30, 84</v>
      </c>
      <c r="T558" t="str">
        <f>"30, 84"</f>
        <v>30, 84</v>
      </c>
      <c r="U558" t="str">
        <f>"30, 84"</f>
        <v>30, 84</v>
      </c>
      <c r="AC558" t="str">
        <f>"2017-08-29T00:00:00"</f>
        <v>2017-08-29T00:00:00</v>
      </c>
      <c r="AD558" t="str">
        <f>"112"</f>
        <v>112</v>
      </c>
      <c r="AG558" t="s">
        <v>202</v>
      </c>
      <c r="AI558" t="s">
        <v>274</v>
      </c>
      <c r="AJ558" t="s">
        <v>300</v>
      </c>
      <c r="AK558" t="s">
        <v>205</v>
      </c>
      <c r="AL558" t="s">
        <v>206</v>
      </c>
      <c r="AN558" t="s">
        <v>207</v>
      </c>
      <c r="AO558">
        <v>1</v>
      </c>
      <c r="AP558" t="s">
        <v>208</v>
      </c>
      <c r="AQ558" t="s">
        <v>209</v>
      </c>
      <c r="AR558" t="s">
        <v>210</v>
      </c>
      <c r="AW558" t="s">
        <v>206</v>
      </c>
      <c r="AX558" t="s">
        <v>211</v>
      </c>
      <c r="AZ558" t="s">
        <v>209</v>
      </c>
      <c r="BI558" t="s">
        <v>212</v>
      </c>
      <c r="BJ558" t="s">
        <v>213</v>
      </c>
      <c r="BK558" t="s">
        <v>214</v>
      </c>
      <c r="BL558" t="s">
        <v>215</v>
      </c>
      <c r="BN558" t="s">
        <v>281</v>
      </c>
      <c r="BO558" t="s">
        <v>209</v>
      </c>
      <c r="BP558" t="s">
        <v>241</v>
      </c>
      <c r="BQ558">
        <v>5</v>
      </c>
      <c r="BS558" t="s">
        <v>219</v>
      </c>
      <c r="BT558" t="s">
        <v>220</v>
      </c>
      <c r="BU558" t="s">
        <v>206</v>
      </c>
      <c r="BX558" t="s">
        <v>221</v>
      </c>
      <c r="BY558" t="s">
        <v>221</v>
      </c>
      <c r="CA558" t="s">
        <v>222</v>
      </c>
      <c r="CB558" t="s">
        <v>223</v>
      </c>
      <c r="CC558" t="s">
        <v>224</v>
      </c>
      <c r="CD558" t="s">
        <v>223</v>
      </c>
      <c r="CE558" t="s">
        <v>225</v>
      </c>
      <c r="CF558" t="s">
        <v>226</v>
      </c>
      <c r="CG558" t="s">
        <v>227</v>
      </c>
      <c r="CH558" t="s">
        <v>228</v>
      </c>
      <c r="CI558" t="s">
        <v>1598</v>
      </c>
      <c r="CJ558" t="s">
        <v>206</v>
      </c>
      <c r="CK558" t="s">
        <v>230</v>
      </c>
      <c r="CL558" t="s">
        <v>231</v>
      </c>
      <c r="CM558" t="s">
        <v>232</v>
      </c>
      <c r="CN558" t="s">
        <v>233</v>
      </c>
      <c r="CP558" t="s">
        <v>212</v>
      </c>
      <c r="CQ558" t="s">
        <v>212</v>
      </c>
      <c r="CR558" t="s">
        <v>212</v>
      </c>
      <c r="CS558" t="s">
        <v>212</v>
      </c>
      <c r="CY558" t="s">
        <v>212</v>
      </c>
      <c r="DB558" t="s">
        <v>234</v>
      </c>
      <c r="DE558" t="s">
        <v>212</v>
      </c>
      <c r="DF558" t="s">
        <v>212</v>
      </c>
      <c r="DG558" t="s">
        <v>235</v>
      </c>
      <c r="DH558" t="s">
        <v>212</v>
      </c>
      <c r="DJ558" t="s">
        <v>236</v>
      </c>
      <c r="DM558" t="s">
        <v>206</v>
      </c>
    </row>
    <row r="559" spans="1:117" x14ac:dyDescent="0.3">
      <c r="A559">
        <v>348980</v>
      </c>
      <c r="B559">
        <v>74157</v>
      </c>
      <c r="C559" t="str">
        <f>"111009500354"</f>
        <v>111009500354</v>
      </c>
      <c r="D559" t="s">
        <v>1599</v>
      </c>
      <c r="E559" t="s">
        <v>1600</v>
      </c>
      <c r="F559" t="s">
        <v>1601</v>
      </c>
      <c r="G559" s="1">
        <v>40825</v>
      </c>
      <c r="I559" t="s">
        <v>240</v>
      </c>
      <c r="J559" t="s">
        <v>200</v>
      </c>
      <c r="K559" t="s">
        <v>201</v>
      </c>
      <c r="Q559" t="s">
        <v>212</v>
      </c>
      <c r="R559" t="str">
        <f>"КАЗАХСТАН, АКМОЛИНСКАЯ, СТЕПНОГОРСК, 16, 72"</f>
        <v>КАЗАХСТАН, АКМОЛИНСКАЯ, СТЕПНОГОРСК, 16, 72</v>
      </c>
      <c r="S559" t="str">
        <f>"ҚАЗАҚСТАН, АҚМОЛА, СТЕПНОГОР, 16, 72"</f>
        <v>ҚАЗАҚСТАН, АҚМОЛА, СТЕПНОГОР, 16, 72</v>
      </c>
      <c r="T559" t="str">
        <f>"16, 72"</f>
        <v>16, 72</v>
      </c>
      <c r="U559" t="str">
        <f>"16, 72"</f>
        <v>16, 72</v>
      </c>
      <c r="AC559" t="str">
        <f>"2018-08-29T00:00:00"</f>
        <v>2018-08-29T00:00:00</v>
      </c>
      <c r="AD559" t="str">
        <f>"140"</f>
        <v>140</v>
      </c>
      <c r="AE559" t="str">
        <f>"2023-09-01T00:16:15"</f>
        <v>2023-09-01T00:16:15</v>
      </c>
      <c r="AF559" t="str">
        <f>"2024-05-25T00:16:15"</f>
        <v>2024-05-25T00:16:15</v>
      </c>
      <c r="AG559" t="s">
        <v>202</v>
      </c>
      <c r="AI559" t="s">
        <v>299</v>
      </c>
      <c r="AJ559" t="s">
        <v>348</v>
      </c>
      <c r="AK559" t="s">
        <v>253</v>
      </c>
      <c r="AL559" t="s">
        <v>206</v>
      </c>
      <c r="AN559" t="s">
        <v>254</v>
      </c>
      <c r="AO559">
        <v>1</v>
      </c>
      <c r="AP559" t="s">
        <v>208</v>
      </c>
      <c r="AQ559" t="s">
        <v>209</v>
      </c>
      <c r="AR559" t="s">
        <v>210</v>
      </c>
      <c r="AW559" t="s">
        <v>206</v>
      </c>
      <c r="AX559" t="s">
        <v>211</v>
      </c>
      <c r="AZ559" t="s">
        <v>209</v>
      </c>
      <c r="BI559" t="s">
        <v>212</v>
      </c>
      <c r="BJ559" t="s">
        <v>213</v>
      </c>
      <c r="BK559" t="s">
        <v>214</v>
      </c>
      <c r="BL559" t="s">
        <v>215</v>
      </c>
      <c r="BN559" t="s">
        <v>247</v>
      </c>
      <c r="BO559" t="s">
        <v>209</v>
      </c>
      <c r="BP559" t="s">
        <v>241</v>
      </c>
      <c r="BQ559">
        <v>3</v>
      </c>
      <c r="BS559" t="s">
        <v>219</v>
      </c>
      <c r="BT559" t="s">
        <v>220</v>
      </c>
      <c r="BU559" t="s">
        <v>206</v>
      </c>
      <c r="BX559" t="s">
        <v>221</v>
      </c>
      <c r="BY559" t="s">
        <v>221</v>
      </c>
      <c r="CA559" t="s">
        <v>256</v>
      </c>
      <c r="CB559" t="s">
        <v>223</v>
      </c>
      <c r="CC559" t="s">
        <v>222</v>
      </c>
      <c r="CD559" t="s">
        <v>223</v>
      </c>
      <c r="CE559" t="s">
        <v>242</v>
      </c>
      <c r="CJ559" t="s">
        <v>206</v>
      </c>
      <c r="CK559" t="s">
        <v>230</v>
      </c>
      <c r="CL559" t="s">
        <v>231</v>
      </c>
      <c r="CM559" t="s">
        <v>232</v>
      </c>
      <c r="CN559" t="s">
        <v>233</v>
      </c>
      <c r="CP559" t="s">
        <v>212</v>
      </c>
      <c r="CQ559" t="s">
        <v>212</v>
      </c>
      <c r="CR559" t="s">
        <v>212</v>
      </c>
      <c r="CS559" t="s">
        <v>212</v>
      </c>
      <c r="CY559" t="s">
        <v>212</v>
      </c>
      <c r="DB559" t="s">
        <v>234</v>
      </c>
      <c r="DE559" t="s">
        <v>212</v>
      </c>
      <c r="DF559" t="s">
        <v>212</v>
      </c>
      <c r="DG559" t="s">
        <v>235</v>
      </c>
      <c r="DH559" t="s">
        <v>212</v>
      </c>
      <c r="DJ559" t="s">
        <v>421</v>
      </c>
      <c r="DK559" t="s">
        <v>422</v>
      </c>
      <c r="DL559" t="s">
        <v>423</v>
      </c>
      <c r="DM559" t="s">
        <v>212</v>
      </c>
    </row>
    <row r="560" spans="1:117" x14ac:dyDescent="0.3">
      <c r="A560">
        <v>348944</v>
      </c>
      <c r="B560">
        <v>315218</v>
      </c>
      <c r="C560" t="str">
        <f>"080315653848"</f>
        <v>080315653848</v>
      </c>
      <c r="D560" t="s">
        <v>1602</v>
      </c>
      <c r="E560" t="s">
        <v>304</v>
      </c>
      <c r="F560" t="s">
        <v>1115</v>
      </c>
      <c r="G560" s="1">
        <v>39522</v>
      </c>
      <c r="I560" t="s">
        <v>199</v>
      </c>
      <c r="J560" t="s">
        <v>200</v>
      </c>
      <c r="K560" t="s">
        <v>260</v>
      </c>
      <c r="R560" t="str">
        <f>"АНДОРРА, АКМОЛИНСКАЯ, СТЕПНОГОРСК, Заводской, 5, 1"</f>
        <v>АНДОРРА, АКМОЛИНСКАЯ, СТЕПНОГОРСК, Заводской, 5, 1</v>
      </c>
      <c r="S560" t="str">
        <f>"АНДОРРА, АҚМОЛА, СТЕПНОГОР, Заводской, 5, 1"</f>
        <v>АНДОРРА, АҚМОЛА, СТЕПНОГОР, Заводской, 5, 1</v>
      </c>
      <c r="T560" t="str">
        <f>"Заводской, 5, 1"</f>
        <v>Заводской, 5, 1</v>
      </c>
      <c r="U560" t="str">
        <f>"Заводской, 5, 1"</f>
        <v>Заводской, 5, 1</v>
      </c>
      <c r="AC560" t="str">
        <f>"2015-09-01T00:00:00"</f>
        <v>2015-09-01T00:00:00</v>
      </c>
      <c r="AD560" t="str">
        <f>"1"</f>
        <v>1</v>
      </c>
      <c r="AG560" t="s">
        <v>202</v>
      </c>
      <c r="AH560" t="str">
        <f>"ckool007@mail.ru"</f>
        <v>ckool007@mail.ru</v>
      </c>
      <c r="AI560" t="s">
        <v>203</v>
      </c>
      <c r="AJ560" t="s">
        <v>204</v>
      </c>
      <c r="AK560" t="s">
        <v>246</v>
      </c>
      <c r="AL560" t="s">
        <v>206</v>
      </c>
      <c r="AN560" t="s">
        <v>207</v>
      </c>
      <c r="AO560">
        <v>1</v>
      </c>
      <c r="AP560" t="s">
        <v>208</v>
      </c>
      <c r="AQ560" t="s">
        <v>209</v>
      </c>
      <c r="AR560" t="s">
        <v>210</v>
      </c>
      <c r="AW560" t="s">
        <v>206</v>
      </c>
      <c r="AX560" t="s">
        <v>211</v>
      </c>
      <c r="AZ560" t="s">
        <v>209</v>
      </c>
      <c r="BI560" t="s">
        <v>212</v>
      </c>
      <c r="BJ560" t="s">
        <v>213</v>
      </c>
      <c r="BK560" t="s">
        <v>214</v>
      </c>
      <c r="BL560" t="s">
        <v>215</v>
      </c>
      <c r="BN560" t="s">
        <v>247</v>
      </c>
      <c r="BO560" t="s">
        <v>209</v>
      </c>
      <c r="BP560" t="s">
        <v>241</v>
      </c>
      <c r="BQ560">
        <v>3</v>
      </c>
      <c r="BS560" t="s">
        <v>219</v>
      </c>
      <c r="BT560" t="s">
        <v>220</v>
      </c>
      <c r="BU560" t="s">
        <v>206</v>
      </c>
      <c r="BX560" t="s">
        <v>221</v>
      </c>
      <c r="BY560" t="s">
        <v>221</v>
      </c>
      <c r="CA560" t="s">
        <v>263</v>
      </c>
      <c r="CB560" t="s">
        <v>223</v>
      </c>
      <c r="CC560" t="s">
        <v>209</v>
      </c>
      <c r="CE560" t="s">
        <v>242</v>
      </c>
      <c r="CJ560" t="s">
        <v>206</v>
      </c>
      <c r="CK560" t="s">
        <v>230</v>
      </c>
      <c r="CL560" t="s">
        <v>231</v>
      </c>
      <c r="CM560" t="s">
        <v>232</v>
      </c>
      <c r="CN560" t="s">
        <v>233</v>
      </c>
      <c r="CP560" t="s">
        <v>212</v>
      </c>
      <c r="CQ560" t="s">
        <v>212</v>
      </c>
      <c r="CR560" t="s">
        <v>212</v>
      </c>
      <c r="CS560" t="s">
        <v>212</v>
      </c>
      <c r="CY560" t="s">
        <v>212</v>
      </c>
      <c r="DB560" t="s">
        <v>234</v>
      </c>
      <c r="DE560" t="s">
        <v>212</v>
      </c>
      <c r="DF560" t="s">
        <v>212</v>
      </c>
      <c r="DG560" t="s">
        <v>235</v>
      </c>
      <c r="DH560" t="s">
        <v>212</v>
      </c>
      <c r="DJ560" t="s">
        <v>236</v>
      </c>
      <c r="DM560" t="s">
        <v>206</v>
      </c>
    </row>
    <row r="561" spans="1:117" x14ac:dyDescent="0.3">
      <c r="A561">
        <v>348904</v>
      </c>
      <c r="B561">
        <v>315184</v>
      </c>
      <c r="C561" t="str">
        <f>"110628600908"</f>
        <v>110628600908</v>
      </c>
      <c r="D561" t="s">
        <v>1330</v>
      </c>
      <c r="E561" t="s">
        <v>1603</v>
      </c>
      <c r="F561" t="s">
        <v>1332</v>
      </c>
      <c r="G561" s="1">
        <v>40722</v>
      </c>
      <c r="I561" t="s">
        <v>199</v>
      </c>
      <c r="J561" t="s">
        <v>200</v>
      </c>
      <c r="K561" t="s">
        <v>201</v>
      </c>
      <c r="R561" t="str">
        <f>"КАЗАХСТАН, АБАЙ, Калбатауский, Калбатау, 23"</f>
        <v>КАЗАХСТАН, АБАЙ, Калбатауский, Калбатау, 23</v>
      </c>
      <c r="S561" t="str">
        <f>"ҚАЗАҚСТАН, АБАЙ, Калбатауский, Калбатау, 23"</f>
        <v>ҚАЗАҚСТАН, АБАЙ, Калбатауский, Калбатау, 23</v>
      </c>
      <c r="T561" t="str">
        <f>"Калбатауский, Калбатау, 23"</f>
        <v>Калбатауский, Калбатау, 23</v>
      </c>
      <c r="U561" t="str">
        <f>"Калбатауский, Калбатау, 23"</f>
        <v>Калбатауский, Калбатау, 23</v>
      </c>
      <c r="AC561" t="str">
        <f>"2018-08-29T00:00:00"</f>
        <v>2018-08-29T00:00:00</v>
      </c>
      <c r="AD561" t="str">
        <f>"140"</f>
        <v>140</v>
      </c>
      <c r="AG561" t="s">
        <v>202</v>
      </c>
      <c r="AI561" t="s">
        <v>299</v>
      </c>
      <c r="AJ561" t="s">
        <v>348</v>
      </c>
      <c r="AK561" t="s">
        <v>253</v>
      </c>
      <c r="AL561" t="s">
        <v>206</v>
      </c>
      <c r="AN561" t="s">
        <v>254</v>
      </c>
      <c r="AO561">
        <v>1</v>
      </c>
      <c r="AP561" t="s">
        <v>208</v>
      </c>
      <c r="AQ561" t="s">
        <v>209</v>
      </c>
      <c r="AR561" t="s">
        <v>262</v>
      </c>
      <c r="AW561" t="s">
        <v>206</v>
      </c>
      <c r="AX561" t="s">
        <v>211</v>
      </c>
      <c r="AZ561" t="s">
        <v>209</v>
      </c>
      <c r="BI561" t="s">
        <v>212</v>
      </c>
      <c r="BJ561" t="s">
        <v>213</v>
      </c>
      <c r="BK561" t="s">
        <v>214</v>
      </c>
      <c r="BL561" t="s">
        <v>215</v>
      </c>
      <c r="BN561" t="s">
        <v>281</v>
      </c>
      <c r="BO561" t="s">
        <v>209</v>
      </c>
      <c r="BP561" t="s">
        <v>241</v>
      </c>
      <c r="BQ561">
        <v>5</v>
      </c>
      <c r="BS561" t="s">
        <v>219</v>
      </c>
      <c r="BT561" t="s">
        <v>220</v>
      </c>
      <c r="BU561" t="s">
        <v>206</v>
      </c>
      <c r="BX561" t="s">
        <v>221</v>
      </c>
      <c r="BY561" t="s">
        <v>221</v>
      </c>
      <c r="CA561" t="s">
        <v>222</v>
      </c>
      <c r="CB561" t="s">
        <v>223</v>
      </c>
      <c r="CC561" t="s">
        <v>222</v>
      </c>
      <c r="CD561" t="s">
        <v>223</v>
      </c>
      <c r="CE561" t="s">
        <v>225</v>
      </c>
      <c r="CF561" t="s">
        <v>226</v>
      </c>
      <c r="CG561" t="s">
        <v>343</v>
      </c>
      <c r="CH561" t="s">
        <v>228</v>
      </c>
      <c r="CI561" t="s">
        <v>1604</v>
      </c>
      <c r="CJ561" t="s">
        <v>206</v>
      </c>
      <c r="CK561" t="s">
        <v>230</v>
      </c>
      <c r="CL561" t="s">
        <v>231</v>
      </c>
      <c r="CM561" t="s">
        <v>232</v>
      </c>
      <c r="CN561" t="s">
        <v>233</v>
      </c>
      <c r="CP561" t="s">
        <v>212</v>
      </c>
      <c r="CQ561" t="s">
        <v>212</v>
      </c>
      <c r="CR561" t="s">
        <v>212</v>
      </c>
      <c r="CS561" t="s">
        <v>212</v>
      </c>
      <c r="CY561" t="s">
        <v>212</v>
      </c>
      <c r="DB561" t="s">
        <v>234</v>
      </c>
      <c r="DE561" t="s">
        <v>212</v>
      </c>
      <c r="DF561" t="s">
        <v>212</v>
      </c>
      <c r="DG561" t="s">
        <v>235</v>
      </c>
      <c r="DH561" t="s">
        <v>212</v>
      </c>
      <c r="DJ561" t="s">
        <v>236</v>
      </c>
      <c r="DM561" t="s">
        <v>212</v>
      </c>
    </row>
    <row r="562" spans="1:117" x14ac:dyDescent="0.3">
      <c r="A562">
        <v>348866</v>
      </c>
      <c r="B562">
        <v>20652</v>
      </c>
      <c r="C562" t="str">
        <f>"090727652148"</f>
        <v>090727652148</v>
      </c>
      <c r="D562" t="s">
        <v>1605</v>
      </c>
      <c r="E562" t="s">
        <v>372</v>
      </c>
      <c r="F562" t="s">
        <v>555</v>
      </c>
      <c r="G562" s="1">
        <v>40021</v>
      </c>
      <c r="I562" t="s">
        <v>199</v>
      </c>
      <c r="J562" t="s">
        <v>200</v>
      </c>
      <c r="K562" t="s">
        <v>268</v>
      </c>
      <c r="R562" t="str">
        <f>"АНДОРРА, АКМОЛИНСКАЯ, БУЛАНДЫНСКИЙ РАЙОН, СУВОРОВКА, 18"</f>
        <v>АНДОРРА, АКМОЛИНСКАЯ, БУЛАНДЫНСКИЙ РАЙОН, СУВОРОВКА, 18</v>
      </c>
      <c r="S562" t="str">
        <f>"АНДОРРА, АҚМОЛА, БҰЛАНДЫ АУДАНЫ, СУВОРОВКА, 18"</f>
        <v>АНДОРРА, АҚМОЛА, БҰЛАНДЫ АУДАНЫ, СУВОРОВКА, 18</v>
      </c>
      <c r="T562" t="str">
        <f>"СУВОРОВКА, 18"</f>
        <v>СУВОРОВКА, 18</v>
      </c>
      <c r="U562" t="str">
        <f>"СУВОРОВКА, 18"</f>
        <v>СУВОРОВКА, 18</v>
      </c>
      <c r="AC562" t="str">
        <f>"2017-10-25T00:00:00"</f>
        <v>2017-10-25T00:00:00</v>
      </c>
      <c r="AD562" t="str">
        <f>"113"</f>
        <v>113</v>
      </c>
      <c r="AG562" t="s">
        <v>646</v>
      </c>
      <c r="AI562" t="s">
        <v>203</v>
      </c>
      <c r="AJ562" t="s">
        <v>300</v>
      </c>
      <c r="AK562" t="s">
        <v>261</v>
      </c>
      <c r="AL562" t="s">
        <v>206</v>
      </c>
      <c r="AN562" t="s">
        <v>207</v>
      </c>
      <c r="AO562">
        <v>1</v>
      </c>
      <c r="AP562" t="s">
        <v>208</v>
      </c>
      <c r="AQ562" t="s">
        <v>209</v>
      </c>
      <c r="AR562" t="s">
        <v>210</v>
      </c>
      <c r="AW562" t="s">
        <v>206</v>
      </c>
      <c r="AX562" t="s">
        <v>211</v>
      </c>
      <c r="AZ562" t="s">
        <v>209</v>
      </c>
      <c r="BI562" t="s">
        <v>212</v>
      </c>
      <c r="BJ562" t="s">
        <v>213</v>
      </c>
      <c r="BK562" t="s">
        <v>214</v>
      </c>
      <c r="BL562" t="s">
        <v>215</v>
      </c>
      <c r="BN562" t="s">
        <v>216</v>
      </c>
      <c r="BO562" t="s">
        <v>209</v>
      </c>
      <c r="BP562" t="s">
        <v>241</v>
      </c>
      <c r="BQ562">
        <v>4</v>
      </c>
      <c r="BS562" t="s">
        <v>219</v>
      </c>
      <c r="BT562" t="s">
        <v>220</v>
      </c>
      <c r="BU562" t="s">
        <v>206</v>
      </c>
      <c r="BX562" t="s">
        <v>234</v>
      </c>
      <c r="BY562" t="s">
        <v>234</v>
      </c>
      <c r="CA562" t="s">
        <v>222</v>
      </c>
      <c r="CB562" t="s">
        <v>223</v>
      </c>
      <c r="CC562" t="s">
        <v>222</v>
      </c>
      <c r="CD562" t="s">
        <v>223</v>
      </c>
      <c r="CE562" t="s">
        <v>242</v>
      </c>
      <c r="CJ562" t="s">
        <v>206</v>
      </c>
      <c r="CK562" t="s">
        <v>230</v>
      </c>
      <c r="CL562" t="s">
        <v>231</v>
      </c>
      <c r="CM562" t="s">
        <v>232</v>
      </c>
      <c r="CN562" t="s">
        <v>233</v>
      </c>
      <c r="CP562" t="s">
        <v>212</v>
      </c>
      <c r="CQ562" t="s">
        <v>212</v>
      </c>
      <c r="CR562" t="s">
        <v>212</v>
      </c>
      <c r="CS562" t="s">
        <v>212</v>
      </c>
      <c r="CY562" t="s">
        <v>212</v>
      </c>
      <c r="DB562" t="s">
        <v>234</v>
      </c>
      <c r="DE562" t="s">
        <v>212</v>
      </c>
      <c r="DF562" t="s">
        <v>212</v>
      </c>
      <c r="DG562" t="s">
        <v>235</v>
      </c>
      <c r="DH562" t="s">
        <v>212</v>
      </c>
      <c r="DJ562" t="s">
        <v>236</v>
      </c>
      <c r="DM562" t="s">
        <v>212</v>
      </c>
    </row>
    <row r="563" spans="1:117" x14ac:dyDescent="0.3">
      <c r="A563">
        <v>348729</v>
      </c>
      <c r="B563">
        <v>315044</v>
      </c>
      <c r="C563" t="str">
        <f>"080720651934"</f>
        <v>080720651934</v>
      </c>
      <c r="D563" t="s">
        <v>1606</v>
      </c>
      <c r="E563" t="s">
        <v>304</v>
      </c>
      <c r="F563" t="s">
        <v>555</v>
      </c>
      <c r="G563" s="1">
        <v>39649</v>
      </c>
      <c r="I563" t="s">
        <v>199</v>
      </c>
      <c r="J563" t="s">
        <v>200</v>
      </c>
      <c r="K563" t="s">
        <v>260</v>
      </c>
      <c r="Q563" t="s">
        <v>212</v>
      </c>
      <c r="R563" t="str">
        <f>"АНДОРРА, АКМОЛИНСКАЯ, СТЕПНОГОРСК, 19, 31"</f>
        <v>АНДОРРА, АКМОЛИНСКАЯ, СТЕПНОГОРСК, 19, 31</v>
      </c>
      <c r="S563" t="str">
        <f>"АНДОРРА, АҚМОЛА, СТЕПНОГОР, 19, 31"</f>
        <v>АНДОРРА, АҚМОЛА, СТЕПНОГОР, 19, 31</v>
      </c>
      <c r="T563" t="str">
        <f>"19, 31"</f>
        <v>19, 31</v>
      </c>
      <c r="U563" t="str">
        <f>"19, 31"</f>
        <v>19, 31</v>
      </c>
      <c r="AC563" t="str">
        <f>"2015-09-01T00:00:00"</f>
        <v>2015-09-01T00:00:00</v>
      </c>
      <c r="AD563" t="str">
        <f>"1"</f>
        <v>1</v>
      </c>
      <c r="AG563" t="s">
        <v>202</v>
      </c>
      <c r="AH563" t="str">
        <f>"ckool007@mail.ru"</f>
        <v>ckool007@mail.ru</v>
      </c>
      <c r="AI563" t="s">
        <v>203</v>
      </c>
      <c r="AJ563" t="s">
        <v>204</v>
      </c>
      <c r="AK563" t="s">
        <v>205</v>
      </c>
      <c r="AL563" t="s">
        <v>206</v>
      </c>
      <c r="AN563" t="s">
        <v>207</v>
      </c>
      <c r="AO563">
        <v>1</v>
      </c>
      <c r="AP563" t="s">
        <v>208</v>
      </c>
      <c r="AQ563" t="s">
        <v>209</v>
      </c>
      <c r="AR563" t="s">
        <v>210</v>
      </c>
      <c r="AW563" t="s">
        <v>206</v>
      </c>
      <c r="AX563" t="s">
        <v>211</v>
      </c>
      <c r="AZ563" t="s">
        <v>209</v>
      </c>
      <c r="BI563" t="s">
        <v>212</v>
      </c>
      <c r="BJ563" t="s">
        <v>213</v>
      </c>
      <c r="BK563" t="s">
        <v>214</v>
      </c>
      <c r="BL563" t="s">
        <v>215</v>
      </c>
      <c r="BN563" t="s">
        <v>216</v>
      </c>
      <c r="BO563" t="s">
        <v>209</v>
      </c>
      <c r="BP563" t="s">
        <v>241</v>
      </c>
      <c r="BQ563">
        <v>4</v>
      </c>
      <c r="BS563" t="s">
        <v>219</v>
      </c>
      <c r="BT563" t="s">
        <v>220</v>
      </c>
      <c r="BU563" t="s">
        <v>206</v>
      </c>
      <c r="BX563" t="s">
        <v>221</v>
      </c>
      <c r="BY563" t="s">
        <v>221</v>
      </c>
      <c r="CA563" t="s">
        <v>287</v>
      </c>
      <c r="CC563" t="s">
        <v>353</v>
      </c>
      <c r="CD563" t="s">
        <v>223</v>
      </c>
      <c r="CE563" t="s">
        <v>242</v>
      </c>
      <c r="CJ563" t="s">
        <v>206</v>
      </c>
      <c r="CK563" t="s">
        <v>230</v>
      </c>
      <c r="CL563" t="s">
        <v>231</v>
      </c>
      <c r="CM563" t="s">
        <v>232</v>
      </c>
      <c r="CN563" t="s">
        <v>233</v>
      </c>
      <c r="CP563" t="s">
        <v>212</v>
      </c>
      <c r="CQ563" t="s">
        <v>212</v>
      </c>
      <c r="CR563" t="s">
        <v>212</v>
      </c>
      <c r="CS563" t="s">
        <v>212</v>
      </c>
      <c r="CY563" t="s">
        <v>212</v>
      </c>
      <c r="DB563" t="s">
        <v>234</v>
      </c>
      <c r="DE563" t="s">
        <v>212</v>
      </c>
      <c r="DF563" t="s">
        <v>212</v>
      </c>
      <c r="DG563" t="s">
        <v>235</v>
      </c>
      <c r="DH563" t="s">
        <v>212</v>
      </c>
      <c r="DJ563" t="s">
        <v>236</v>
      </c>
      <c r="DM563" t="s">
        <v>212</v>
      </c>
    </row>
    <row r="564" spans="1:117" x14ac:dyDescent="0.3">
      <c r="A564">
        <v>348695</v>
      </c>
      <c r="B564">
        <v>315016</v>
      </c>
      <c r="C564" t="str">
        <f>"080606654304"</f>
        <v>080606654304</v>
      </c>
      <c r="D564" t="s">
        <v>1607</v>
      </c>
      <c r="E564" t="s">
        <v>791</v>
      </c>
      <c r="F564" t="s">
        <v>726</v>
      </c>
      <c r="G564" s="1">
        <v>39605</v>
      </c>
      <c r="I564" t="s">
        <v>199</v>
      </c>
      <c r="J564" t="s">
        <v>200</v>
      </c>
      <c r="K564" t="s">
        <v>260</v>
      </c>
      <c r="Q564" t="s">
        <v>212</v>
      </c>
      <c r="R564" t="str">
        <f>"АНДОРРА, АКМОЛИНСКАЯ, СТЕПНОГОРСК, 37, 42"</f>
        <v>АНДОРРА, АКМОЛИНСКАЯ, СТЕПНОГОРСК, 37, 42</v>
      </c>
      <c r="S564" t="str">
        <f>"АНДОРРА, АҚМОЛА, СТЕПНОГОР, 37, 42"</f>
        <v>АНДОРРА, АҚМОЛА, СТЕПНОГОР, 37, 42</v>
      </c>
      <c r="T564" t="str">
        <f>"37, 42"</f>
        <v>37, 42</v>
      </c>
      <c r="U564" t="str">
        <f>"37, 42"</f>
        <v>37, 42</v>
      </c>
      <c r="AC564" t="str">
        <f>"2015-09-01T00:00:00"</f>
        <v>2015-09-01T00:00:00</v>
      </c>
      <c r="AD564" t="str">
        <f>"1"</f>
        <v>1</v>
      </c>
      <c r="AG564" t="s">
        <v>202</v>
      </c>
      <c r="AH564" t="str">
        <f>"ckool007@mail.ru"</f>
        <v>ckool007@mail.ru</v>
      </c>
      <c r="AI564" t="s">
        <v>203</v>
      </c>
      <c r="AJ564" t="s">
        <v>204</v>
      </c>
      <c r="AK564" t="s">
        <v>205</v>
      </c>
      <c r="AL564" t="s">
        <v>206</v>
      </c>
      <c r="AN564" t="s">
        <v>207</v>
      </c>
      <c r="AO564">
        <v>1</v>
      </c>
      <c r="AP564" t="s">
        <v>208</v>
      </c>
      <c r="AQ564" t="s">
        <v>209</v>
      </c>
      <c r="AR564" t="s">
        <v>210</v>
      </c>
      <c r="AW564" t="s">
        <v>206</v>
      </c>
      <c r="AX564" t="s">
        <v>211</v>
      </c>
      <c r="AZ564" t="s">
        <v>209</v>
      </c>
      <c r="BI564" t="s">
        <v>212</v>
      </c>
      <c r="BJ564" t="s">
        <v>213</v>
      </c>
      <c r="BK564" t="s">
        <v>214</v>
      </c>
      <c r="BL564" t="s">
        <v>215</v>
      </c>
      <c r="BN564" t="s">
        <v>281</v>
      </c>
      <c r="BO564" t="s">
        <v>209</v>
      </c>
      <c r="BP564" t="s">
        <v>217</v>
      </c>
      <c r="BQ564" t="s">
        <v>378</v>
      </c>
      <c r="BS564" t="s">
        <v>219</v>
      </c>
      <c r="BT564" t="s">
        <v>220</v>
      </c>
      <c r="BU564" t="s">
        <v>206</v>
      </c>
      <c r="BX564" t="s">
        <v>221</v>
      </c>
      <c r="BY564" t="s">
        <v>221</v>
      </c>
      <c r="CA564" t="s">
        <v>222</v>
      </c>
      <c r="CB564" t="s">
        <v>223</v>
      </c>
      <c r="CC564" t="s">
        <v>353</v>
      </c>
      <c r="CD564" t="s">
        <v>223</v>
      </c>
      <c r="CE564" t="s">
        <v>242</v>
      </c>
      <c r="CJ564" t="s">
        <v>206</v>
      </c>
      <c r="CK564" t="s">
        <v>230</v>
      </c>
      <c r="CL564" t="s">
        <v>231</v>
      </c>
      <c r="CM564" t="s">
        <v>232</v>
      </c>
      <c r="CN564" t="s">
        <v>233</v>
      </c>
      <c r="CP564" t="s">
        <v>212</v>
      </c>
      <c r="CQ564" t="s">
        <v>212</v>
      </c>
      <c r="CR564" t="s">
        <v>212</v>
      </c>
      <c r="CS564" t="s">
        <v>212</v>
      </c>
      <c r="CY564" t="s">
        <v>212</v>
      </c>
      <c r="DB564" t="s">
        <v>234</v>
      </c>
      <c r="DE564" t="s">
        <v>212</v>
      </c>
      <c r="DF564" t="s">
        <v>212</v>
      </c>
      <c r="DG564" t="s">
        <v>235</v>
      </c>
      <c r="DH564" t="s">
        <v>212</v>
      </c>
      <c r="DJ564" t="s">
        <v>236</v>
      </c>
      <c r="DM564" t="s">
        <v>212</v>
      </c>
    </row>
    <row r="565" spans="1:117" x14ac:dyDescent="0.3">
      <c r="A565">
        <v>348629</v>
      </c>
      <c r="B565">
        <v>314973</v>
      </c>
      <c r="C565" t="str">
        <f>"080427551083"</f>
        <v>080427551083</v>
      </c>
      <c r="D565" t="s">
        <v>1527</v>
      </c>
      <c r="E565" t="s">
        <v>1091</v>
      </c>
      <c r="F565" t="s">
        <v>1608</v>
      </c>
      <c r="G565" s="1">
        <v>39565</v>
      </c>
      <c r="I565" t="s">
        <v>240</v>
      </c>
      <c r="J565" t="s">
        <v>200</v>
      </c>
      <c r="K565" t="s">
        <v>1529</v>
      </c>
      <c r="Q565" t="s">
        <v>212</v>
      </c>
      <c r="R565" t="str">
        <f>"АНДОРРА, АКМОЛИНСКАЯ, СТЕПНОГОРСК, 33, 115"</f>
        <v>АНДОРРА, АКМОЛИНСКАЯ, СТЕПНОГОРСК, 33, 115</v>
      </c>
      <c r="S565" t="str">
        <f>"АНДОРРА, АҚМОЛА, СТЕПНОГОР, 33, 115"</f>
        <v>АНДОРРА, АҚМОЛА, СТЕПНОГОР, 33, 115</v>
      </c>
      <c r="T565" t="str">
        <f>"33, 115"</f>
        <v>33, 115</v>
      </c>
      <c r="U565" t="str">
        <f>"33, 115"</f>
        <v>33, 115</v>
      </c>
      <c r="AC565" t="str">
        <f>"2015-09-01T00:00:00"</f>
        <v>2015-09-01T00:00:00</v>
      </c>
      <c r="AD565" t="str">
        <f>"1"</f>
        <v>1</v>
      </c>
      <c r="AG565" t="s">
        <v>202</v>
      </c>
      <c r="AH565" t="str">
        <f>"ckool007@mail.ru"</f>
        <v>ckool007@mail.ru</v>
      </c>
      <c r="AI565" t="s">
        <v>203</v>
      </c>
      <c r="AJ565" t="s">
        <v>204</v>
      </c>
      <c r="AK565" t="s">
        <v>205</v>
      </c>
      <c r="AL565" t="s">
        <v>206</v>
      </c>
      <c r="AN565" t="s">
        <v>207</v>
      </c>
      <c r="AO565">
        <v>1</v>
      </c>
      <c r="AP565" t="s">
        <v>208</v>
      </c>
      <c r="AQ565" t="s">
        <v>209</v>
      </c>
      <c r="AR565" t="s">
        <v>210</v>
      </c>
      <c r="AW565" t="s">
        <v>206</v>
      </c>
      <c r="AX565" t="s">
        <v>211</v>
      </c>
      <c r="AZ565" t="s">
        <v>209</v>
      </c>
      <c r="BI565" t="s">
        <v>212</v>
      </c>
      <c r="BJ565" t="s">
        <v>213</v>
      </c>
      <c r="BK565" t="s">
        <v>214</v>
      </c>
      <c r="BL565" t="s">
        <v>215</v>
      </c>
      <c r="BN565" t="s">
        <v>216</v>
      </c>
      <c r="BO565" t="s">
        <v>209</v>
      </c>
      <c r="BP565" t="s">
        <v>241</v>
      </c>
      <c r="BQ565">
        <v>4</v>
      </c>
      <c r="BS565" t="s">
        <v>219</v>
      </c>
      <c r="BT565" t="s">
        <v>220</v>
      </c>
      <c r="BU565" t="s">
        <v>206</v>
      </c>
      <c r="BX565" t="s">
        <v>234</v>
      </c>
      <c r="BY565" t="s">
        <v>234</v>
      </c>
      <c r="CA565" t="s">
        <v>222</v>
      </c>
      <c r="CB565" t="s">
        <v>223</v>
      </c>
      <c r="CC565" t="s">
        <v>209</v>
      </c>
      <c r="CE565" t="s">
        <v>342</v>
      </c>
      <c r="CF565" t="s">
        <v>226</v>
      </c>
      <c r="CG565" t="s">
        <v>343</v>
      </c>
      <c r="CH565" t="s">
        <v>209</v>
      </c>
      <c r="CI565" t="s">
        <v>344</v>
      </c>
      <c r="CJ565" t="s">
        <v>206</v>
      </c>
      <c r="CK565" t="s">
        <v>230</v>
      </c>
      <c r="CL565" t="s">
        <v>231</v>
      </c>
      <c r="CM565" t="s">
        <v>232</v>
      </c>
      <c r="CN565" t="s">
        <v>233</v>
      </c>
      <c r="CP565" t="s">
        <v>212</v>
      </c>
      <c r="CQ565" t="s">
        <v>212</v>
      </c>
      <c r="CR565" t="s">
        <v>212</v>
      </c>
      <c r="CS565" t="s">
        <v>212</v>
      </c>
      <c r="CY565" t="s">
        <v>212</v>
      </c>
      <c r="DB565" t="s">
        <v>234</v>
      </c>
      <c r="DE565" t="s">
        <v>212</v>
      </c>
      <c r="DF565" t="s">
        <v>212</v>
      </c>
      <c r="DG565" t="s">
        <v>235</v>
      </c>
      <c r="DH565" t="s">
        <v>212</v>
      </c>
      <c r="DJ565" t="s">
        <v>236</v>
      </c>
      <c r="DM565" t="s">
        <v>212</v>
      </c>
    </row>
    <row r="566" spans="1:117" x14ac:dyDescent="0.3">
      <c r="A566">
        <v>348600</v>
      </c>
      <c r="B566">
        <v>314947</v>
      </c>
      <c r="C566" t="str">
        <f>"100312551301"</f>
        <v>100312551301</v>
      </c>
      <c r="D566" t="s">
        <v>1609</v>
      </c>
      <c r="E566" t="s">
        <v>1610</v>
      </c>
      <c r="F566" t="s">
        <v>1611</v>
      </c>
      <c r="G566" s="1">
        <v>40249</v>
      </c>
      <c r="I566" t="s">
        <v>240</v>
      </c>
      <c r="J566" t="s">
        <v>200</v>
      </c>
      <c r="K566" t="s">
        <v>201</v>
      </c>
      <c r="Q566" t="s">
        <v>212</v>
      </c>
      <c r="R566" t="str">
        <f>"АНДОРРА, АКМОЛИНСКАЯ, СТЕПНОГОРСК, 41, 7"</f>
        <v>АНДОРРА, АКМОЛИНСКАЯ, СТЕПНОГОРСК, 41, 7</v>
      </c>
      <c r="S566" t="str">
        <f>"АНДОРРА, АҚМОЛА, СТЕПНОГОР, 41, 7"</f>
        <v>АНДОРРА, АҚМОЛА, СТЕПНОГОР, 41, 7</v>
      </c>
      <c r="T566" t="str">
        <f>"41, 7"</f>
        <v>41, 7</v>
      </c>
      <c r="U566" t="str">
        <f>"41, 7"</f>
        <v>41, 7</v>
      </c>
      <c r="AC566" t="str">
        <f>"2016-09-01T00:00:00"</f>
        <v>2016-09-01T00:00:00</v>
      </c>
      <c r="AD566" t="str">
        <f>"1"</f>
        <v>1</v>
      </c>
      <c r="AG566" t="s">
        <v>202</v>
      </c>
      <c r="AI566" t="s">
        <v>269</v>
      </c>
      <c r="AJ566" t="s">
        <v>300</v>
      </c>
      <c r="AK566" t="s">
        <v>261</v>
      </c>
      <c r="AL566" t="s">
        <v>206</v>
      </c>
      <c r="AN566" t="s">
        <v>207</v>
      </c>
      <c r="AO566">
        <v>1</v>
      </c>
      <c r="AP566" t="s">
        <v>208</v>
      </c>
      <c r="AQ566" t="s">
        <v>209</v>
      </c>
      <c r="AR566" t="s">
        <v>210</v>
      </c>
      <c r="AW566" t="s">
        <v>206</v>
      </c>
      <c r="AX566" t="s">
        <v>211</v>
      </c>
      <c r="AZ566" t="s">
        <v>209</v>
      </c>
      <c r="BI566" t="s">
        <v>212</v>
      </c>
      <c r="BJ566" t="s">
        <v>213</v>
      </c>
      <c r="BK566" t="s">
        <v>214</v>
      </c>
      <c r="BL566" t="s">
        <v>215</v>
      </c>
      <c r="BN566" t="s">
        <v>247</v>
      </c>
      <c r="BO566" t="s">
        <v>209</v>
      </c>
      <c r="BP566" t="s">
        <v>241</v>
      </c>
      <c r="BQ566">
        <v>3</v>
      </c>
      <c r="BS566" t="s">
        <v>219</v>
      </c>
      <c r="BT566" t="s">
        <v>220</v>
      </c>
      <c r="BU566" t="s">
        <v>206</v>
      </c>
      <c r="BX566" t="s">
        <v>221</v>
      </c>
      <c r="BY566" t="s">
        <v>221</v>
      </c>
      <c r="CA566" t="s">
        <v>222</v>
      </c>
      <c r="CB566" t="s">
        <v>223</v>
      </c>
      <c r="CC566" t="s">
        <v>404</v>
      </c>
      <c r="CD566" t="s">
        <v>223</v>
      </c>
      <c r="CE566" t="s">
        <v>242</v>
      </c>
      <c r="CJ566" t="s">
        <v>206</v>
      </c>
      <c r="CK566" t="s">
        <v>230</v>
      </c>
      <c r="CL566" t="s">
        <v>231</v>
      </c>
      <c r="CM566" t="s">
        <v>232</v>
      </c>
      <c r="CN566" t="s">
        <v>233</v>
      </c>
      <c r="CP566" t="s">
        <v>212</v>
      </c>
      <c r="CQ566" t="s">
        <v>212</v>
      </c>
      <c r="CR566" t="s">
        <v>212</v>
      </c>
      <c r="CS566" t="s">
        <v>212</v>
      </c>
      <c r="CY566" t="s">
        <v>212</v>
      </c>
      <c r="DB566" t="s">
        <v>234</v>
      </c>
      <c r="DE566" t="s">
        <v>212</v>
      </c>
      <c r="DF566" t="s">
        <v>212</v>
      </c>
      <c r="DG566" t="s">
        <v>235</v>
      </c>
      <c r="DH566" t="s">
        <v>212</v>
      </c>
      <c r="DJ566" t="s">
        <v>236</v>
      </c>
      <c r="DM566" t="s">
        <v>206</v>
      </c>
    </row>
    <row r="567" spans="1:117" x14ac:dyDescent="0.3">
      <c r="A567">
        <v>348555</v>
      </c>
      <c r="B567">
        <v>314905</v>
      </c>
      <c r="C567" t="str">
        <f>"090817650638"</f>
        <v>090817650638</v>
      </c>
      <c r="D567" t="s">
        <v>1612</v>
      </c>
      <c r="E567" t="s">
        <v>550</v>
      </c>
      <c r="F567" t="s">
        <v>1032</v>
      </c>
      <c r="G567" s="1">
        <v>40042</v>
      </c>
      <c r="I567" t="s">
        <v>199</v>
      </c>
      <c r="J567" t="s">
        <v>200</v>
      </c>
      <c r="K567" t="s">
        <v>201</v>
      </c>
      <c r="R567" t="str">
        <f>"АНДОРРА, АКМОЛИНСКАЯ, СТЕПНОГОРСК, 86, 81"</f>
        <v>АНДОРРА, АКМОЛИНСКАЯ, СТЕПНОГОРСК, 86, 81</v>
      </c>
      <c r="S567" t="str">
        <f>"АНДОРРА, АҚМОЛА, СТЕПНОГОР, 86, 81"</f>
        <v>АНДОРРА, АҚМОЛА, СТЕПНОГОР, 86, 81</v>
      </c>
      <c r="T567" t="str">
        <f>"86, 81"</f>
        <v>86, 81</v>
      </c>
      <c r="U567" t="str">
        <f>"86, 81"</f>
        <v>86, 81</v>
      </c>
      <c r="AC567" t="str">
        <f>"2016-09-01T00:00:00"</f>
        <v>2016-09-01T00:00:00</v>
      </c>
      <c r="AD567" t="str">
        <f>"1"</f>
        <v>1</v>
      </c>
      <c r="AG567" t="s">
        <v>202</v>
      </c>
      <c r="AH567" t="str">
        <f>"ckool007@mail.ru"</f>
        <v>ckool007@mail.ru</v>
      </c>
      <c r="AI567" t="s">
        <v>299</v>
      </c>
      <c r="AJ567" t="s">
        <v>286</v>
      </c>
      <c r="AK567" t="s">
        <v>205</v>
      </c>
      <c r="AL567" t="s">
        <v>206</v>
      </c>
      <c r="AN567" t="s">
        <v>207</v>
      </c>
      <c r="AO567">
        <v>1</v>
      </c>
      <c r="AP567" t="s">
        <v>208</v>
      </c>
      <c r="AQ567" t="s">
        <v>209</v>
      </c>
      <c r="AR567" t="s">
        <v>210</v>
      </c>
      <c r="AW567" t="s">
        <v>206</v>
      </c>
      <c r="AX567" t="s">
        <v>211</v>
      </c>
      <c r="AZ567" t="s">
        <v>209</v>
      </c>
      <c r="BI567" t="s">
        <v>212</v>
      </c>
      <c r="BJ567" t="s">
        <v>213</v>
      </c>
      <c r="BK567" t="s">
        <v>214</v>
      </c>
      <c r="BL567" t="s">
        <v>215</v>
      </c>
      <c r="BN567" t="s">
        <v>281</v>
      </c>
      <c r="BO567" t="s">
        <v>209</v>
      </c>
      <c r="BP567" t="s">
        <v>241</v>
      </c>
      <c r="BQ567">
        <v>5</v>
      </c>
      <c r="BS567" t="s">
        <v>219</v>
      </c>
      <c r="BT567" t="s">
        <v>220</v>
      </c>
      <c r="BU567" t="s">
        <v>206</v>
      </c>
      <c r="BX567" t="s">
        <v>221</v>
      </c>
      <c r="BY567" t="s">
        <v>221</v>
      </c>
      <c r="CA567" t="s">
        <v>263</v>
      </c>
      <c r="CB567" t="s">
        <v>223</v>
      </c>
      <c r="CC567" t="s">
        <v>209</v>
      </c>
      <c r="CE567" t="s">
        <v>242</v>
      </c>
      <c r="CJ567" t="s">
        <v>206</v>
      </c>
      <c r="CK567" t="s">
        <v>230</v>
      </c>
      <c r="CL567" t="s">
        <v>231</v>
      </c>
      <c r="CM567" t="s">
        <v>232</v>
      </c>
      <c r="CN567" t="s">
        <v>233</v>
      </c>
      <c r="CP567" t="s">
        <v>212</v>
      </c>
      <c r="CQ567" t="s">
        <v>212</v>
      </c>
      <c r="CR567" t="s">
        <v>212</v>
      </c>
      <c r="CS567" t="s">
        <v>212</v>
      </c>
      <c r="CY567" t="s">
        <v>212</v>
      </c>
      <c r="DB567" t="s">
        <v>234</v>
      </c>
      <c r="DE567" t="s">
        <v>212</v>
      </c>
      <c r="DF567" t="s">
        <v>212</v>
      </c>
      <c r="DG567" t="s">
        <v>235</v>
      </c>
      <c r="DH567" t="s">
        <v>212</v>
      </c>
      <c r="DJ567" t="s">
        <v>236</v>
      </c>
      <c r="DM567" t="s">
        <v>212</v>
      </c>
    </row>
    <row r="568" spans="1:117" x14ac:dyDescent="0.3">
      <c r="A568">
        <v>348369</v>
      </c>
      <c r="B568">
        <v>199621</v>
      </c>
      <c r="C568" t="str">
        <f>"100206650274"</f>
        <v>100206650274</v>
      </c>
      <c r="D568" t="s">
        <v>1345</v>
      </c>
      <c r="E568" t="s">
        <v>1613</v>
      </c>
      <c r="F568" t="s">
        <v>1614</v>
      </c>
      <c r="G568" s="1">
        <v>40215</v>
      </c>
      <c r="I568" t="s">
        <v>199</v>
      </c>
      <c r="J568" t="s">
        <v>200</v>
      </c>
      <c r="K568" t="s">
        <v>201</v>
      </c>
      <c r="R568" t="str">
        <f>"АНДОРРА, АКМОЛИНСКАЯ, СТЕПНОГОРСК, 50, 5"</f>
        <v>АНДОРРА, АКМОЛИНСКАЯ, СТЕПНОГОРСК, 50, 5</v>
      </c>
      <c r="S568" t="str">
        <f>"АНДОРРА, АҚМОЛА, СТЕПНОГОР, 50, 5"</f>
        <v>АНДОРРА, АҚМОЛА, СТЕПНОГОР, 50, 5</v>
      </c>
      <c r="T568" t="str">
        <f>"50, 5"</f>
        <v>50, 5</v>
      </c>
      <c r="U568" t="str">
        <f>"50, 5"</f>
        <v>50, 5</v>
      </c>
      <c r="AC568" t="str">
        <f>"2018-08-29T00:00:00"</f>
        <v>2018-08-29T00:00:00</v>
      </c>
      <c r="AD568" t="str">
        <f>"141"</f>
        <v>141</v>
      </c>
      <c r="AG568" t="s">
        <v>202</v>
      </c>
      <c r="AH568" t="str">
        <f>"ckool007@mail.ru"</f>
        <v>ckool007@mail.ru</v>
      </c>
      <c r="AI568" t="s">
        <v>299</v>
      </c>
      <c r="AJ568" t="s">
        <v>286</v>
      </c>
      <c r="AK568" t="s">
        <v>253</v>
      </c>
      <c r="AL568" t="s">
        <v>206</v>
      </c>
      <c r="AN568" t="s">
        <v>254</v>
      </c>
      <c r="AO568">
        <v>1</v>
      </c>
      <c r="AP568" t="s">
        <v>208</v>
      </c>
      <c r="AQ568" t="s">
        <v>209</v>
      </c>
      <c r="AR568" t="s">
        <v>210</v>
      </c>
      <c r="AW568" t="s">
        <v>206</v>
      </c>
      <c r="AX568" t="s">
        <v>211</v>
      </c>
      <c r="AZ568" t="s">
        <v>209</v>
      </c>
      <c r="BI568" t="s">
        <v>212</v>
      </c>
      <c r="BJ568" t="s">
        <v>213</v>
      </c>
      <c r="BK568" t="s">
        <v>214</v>
      </c>
      <c r="BL568" t="s">
        <v>215</v>
      </c>
      <c r="BN568" t="s">
        <v>216</v>
      </c>
      <c r="BO568" t="s">
        <v>209</v>
      </c>
      <c r="BP568" t="s">
        <v>241</v>
      </c>
      <c r="BQ568">
        <v>4</v>
      </c>
      <c r="BS568" t="s">
        <v>219</v>
      </c>
      <c r="BT568" t="s">
        <v>220</v>
      </c>
      <c r="BU568" t="s">
        <v>206</v>
      </c>
      <c r="BX568" t="s">
        <v>221</v>
      </c>
      <c r="BY568" t="s">
        <v>221</v>
      </c>
      <c r="CA568" t="s">
        <v>287</v>
      </c>
      <c r="CC568" t="s">
        <v>334</v>
      </c>
      <c r="CD568" t="s">
        <v>223</v>
      </c>
      <c r="CE568" t="s">
        <v>242</v>
      </c>
      <c r="CJ568" t="s">
        <v>206</v>
      </c>
      <c r="CK568" t="s">
        <v>230</v>
      </c>
      <c r="CL568" t="s">
        <v>231</v>
      </c>
      <c r="CM568" t="s">
        <v>232</v>
      </c>
      <c r="CN568" t="s">
        <v>233</v>
      </c>
      <c r="CP568" t="s">
        <v>212</v>
      </c>
      <c r="CQ568" t="s">
        <v>212</v>
      </c>
      <c r="CR568" t="s">
        <v>212</v>
      </c>
      <c r="CS568" t="s">
        <v>212</v>
      </c>
      <c r="CY568" t="s">
        <v>212</v>
      </c>
      <c r="DB568" t="s">
        <v>234</v>
      </c>
      <c r="DE568" t="s">
        <v>212</v>
      </c>
      <c r="DF568" t="s">
        <v>212</v>
      </c>
      <c r="DG568" t="s">
        <v>235</v>
      </c>
      <c r="DH568" t="s">
        <v>212</v>
      </c>
      <c r="DJ568" t="s">
        <v>236</v>
      </c>
      <c r="DM568" t="s">
        <v>212</v>
      </c>
    </row>
    <row r="569" spans="1:117" x14ac:dyDescent="0.3">
      <c r="A569">
        <v>348102</v>
      </c>
      <c r="B569">
        <v>314529</v>
      </c>
      <c r="C569" t="str">
        <f>"110618601614"</f>
        <v>110618601614</v>
      </c>
      <c r="D569" t="s">
        <v>1615</v>
      </c>
      <c r="E569" t="s">
        <v>1616</v>
      </c>
      <c r="F569" t="s">
        <v>780</v>
      </c>
      <c r="G569" s="1">
        <v>40712</v>
      </c>
      <c r="I569" t="s">
        <v>199</v>
      </c>
      <c r="J569" t="s">
        <v>200</v>
      </c>
      <c r="K569" t="s">
        <v>201</v>
      </c>
      <c r="R569" t="str">
        <f>"КАЗАХСТАН, АКМОЛИНСКАЯ, СТЕПНОГОРСК, 21, 55"</f>
        <v>КАЗАХСТАН, АКМОЛИНСКАЯ, СТЕПНОГОРСК, 21, 55</v>
      </c>
      <c r="S569" t="str">
        <f>"ҚАЗАҚСТАН, АҚМОЛА, СТЕПНОГОР, 21, 55"</f>
        <v>ҚАЗАҚСТАН, АҚМОЛА, СТЕПНОГОР, 21, 55</v>
      </c>
      <c r="T569" t="str">
        <f>"21, 55"</f>
        <v>21, 55</v>
      </c>
      <c r="U569" t="str">
        <f>"21, 55"</f>
        <v>21, 55</v>
      </c>
      <c r="AC569" t="str">
        <f>"2016-09-01T00:00:00"</f>
        <v>2016-09-01T00:00:00</v>
      </c>
      <c r="AD569" t="str">
        <f>"1"</f>
        <v>1</v>
      </c>
      <c r="AG569" t="s">
        <v>202</v>
      </c>
      <c r="AI569" t="s">
        <v>269</v>
      </c>
      <c r="AJ569" t="s">
        <v>300</v>
      </c>
      <c r="AK569" t="s">
        <v>253</v>
      </c>
      <c r="AL569" t="s">
        <v>206</v>
      </c>
      <c r="AN569" t="s">
        <v>254</v>
      </c>
      <c r="AO569">
        <v>1</v>
      </c>
      <c r="AP569" t="s">
        <v>208</v>
      </c>
      <c r="AQ569" t="s">
        <v>209</v>
      </c>
      <c r="AR569" t="s">
        <v>210</v>
      </c>
      <c r="AW569" t="s">
        <v>206</v>
      </c>
      <c r="AX569" t="s">
        <v>211</v>
      </c>
      <c r="AZ569" t="s">
        <v>209</v>
      </c>
      <c r="BI569" t="s">
        <v>212</v>
      </c>
      <c r="BJ569" t="s">
        <v>213</v>
      </c>
      <c r="BK569" t="s">
        <v>214</v>
      </c>
      <c r="BL569" t="s">
        <v>215</v>
      </c>
      <c r="BN569" t="s">
        <v>247</v>
      </c>
      <c r="BO569" t="s">
        <v>209</v>
      </c>
      <c r="BP569" t="s">
        <v>241</v>
      </c>
      <c r="BQ569">
        <v>3</v>
      </c>
      <c r="BS569" t="s">
        <v>219</v>
      </c>
      <c r="BT569" t="s">
        <v>220</v>
      </c>
      <c r="BU569" t="s">
        <v>206</v>
      </c>
      <c r="BX569" t="s">
        <v>221</v>
      </c>
      <c r="BY569" t="s">
        <v>221</v>
      </c>
      <c r="CA569" t="s">
        <v>222</v>
      </c>
      <c r="CB569" t="s">
        <v>223</v>
      </c>
      <c r="CC569" t="s">
        <v>222</v>
      </c>
      <c r="CD569" t="s">
        <v>223</v>
      </c>
      <c r="CE569" t="s">
        <v>242</v>
      </c>
      <c r="CJ569" t="s">
        <v>206</v>
      </c>
      <c r="CK569" t="s">
        <v>230</v>
      </c>
      <c r="CL569" t="s">
        <v>231</v>
      </c>
      <c r="CM569" t="s">
        <v>232</v>
      </c>
      <c r="CN569" t="s">
        <v>233</v>
      </c>
      <c r="CP569" t="s">
        <v>212</v>
      </c>
      <c r="CQ569" t="s">
        <v>212</v>
      </c>
      <c r="CR569" t="s">
        <v>212</v>
      </c>
      <c r="CS569" t="s">
        <v>212</v>
      </c>
      <c r="CY569" t="s">
        <v>212</v>
      </c>
      <c r="DB569" t="s">
        <v>234</v>
      </c>
      <c r="DE569" t="s">
        <v>212</v>
      </c>
      <c r="DF569" t="s">
        <v>212</v>
      </c>
      <c r="DG569" t="s">
        <v>235</v>
      </c>
      <c r="DH569" t="s">
        <v>212</v>
      </c>
      <c r="DJ569" t="s">
        <v>236</v>
      </c>
      <c r="DM569" t="s">
        <v>206</v>
      </c>
    </row>
    <row r="570" spans="1:117" x14ac:dyDescent="0.3">
      <c r="A570">
        <v>347886</v>
      </c>
      <c r="B570">
        <v>314352</v>
      </c>
      <c r="C570" t="str">
        <f>"100216654172"</f>
        <v>100216654172</v>
      </c>
      <c r="D570" t="s">
        <v>1617</v>
      </c>
      <c r="E570" t="s">
        <v>560</v>
      </c>
      <c r="F570" t="s">
        <v>1009</v>
      </c>
      <c r="G570" s="1">
        <v>40225</v>
      </c>
      <c r="I570" t="s">
        <v>199</v>
      </c>
      <c r="J570" t="s">
        <v>200</v>
      </c>
      <c r="K570" t="s">
        <v>260</v>
      </c>
      <c r="R570" t="str">
        <f>"КАЗАХСТАН, АКМОЛИНСКАЯ, СТЕПНОГОРСК, СТЕПНОГОРСК, 37, 45"</f>
        <v>КАЗАХСТАН, АКМОЛИНСКАЯ, СТЕПНОГОРСК, СТЕПНОГОРСК, 37, 45</v>
      </c>
      <c r="S570" t="str">
        <f>"ҚАЗАҚСТАН, АҚМОЛА, СТЕПНОГОР, СТЕПНОГОРСК, 37, 45"</f>
        <v>ҚАЗАҚСТАН, АҚМОЛА, СТЕПНОГОР, СТЕПНОГОРСК, 37, 45</v>
      </c>
      <c r="T570" t="str">
        <f>"СТЕПНОГОРСК, 37, 45"</f>
        <v>СТЕПНОГОРСК, 37, 45</v>
      </c>
      <c r="U570" t="str">
        <f>"СТЕПНОГОРСК, 37, 45"</f>
        <v>СТЕПНОГОРСК, 37, 45</v>
      </c>
      <c r="AC570" t="str">
        <f>"2016-09-01T00:00:00"</f>
        <v>2016-09-01T00:00:00</v>
      </c>
      <c r="AD570" t="str">
        <f>"1"</f>
        <v>1</v>
      </c>
      <c r="AG570" t="s">
        <v>202</v>
      </c>
      <c r="AH570" t="str">
        <f>"ckool007@mail.ru"</f>
        <v>ckool007@mail.ru</v>
      </c>
      <c r="AI570" t="s">
        <v>203</v>
      </c>
      <c r="AJ570" t="s">
        <v>286</v>
      </c>
      <c r="AK570" t="s">
        <v>261</v>
      </c>
      <c r="AL570" t="s">
        <v>206</v>
      </c>
      <c r="AN570" t="s">
        <v>207</v>
      </c>
      <c r="AO570">
        <v>1</v>
      </c>
      <c r="AP570" t="s">
        <v>208</v>
      </c>
      <c r="AQ570" t="s">
        <v>209</v>
      </c>
      <c r="AR570" t="s">
        <v>210</v>
      </c>
      <c r="AW570" t="s">
        <v>206</v>
      </c>
      <c r="AX570" t="s">
        <v>211</v>
      </c>
      <c r="AZ570" t="s">
        <v>209</v>
      </c>
      <c r="BI570" t="s">
        <v>212</v>
      </c>
      <c r="BJ570" t="s">
        <v>213</v>
      </c>
      <c r="BK570" t="s">
        <v>214</v>
      </c>
      <c r="BL570" t="s">
        <v>215</v>
      </c>
      <c r="BN570" t="s">
        <v>281</v>
      </c>
      <c r="BO570" t="s">
        <v>209</v>
      </c>
      <c r="BP570" t="s">
        <v>241</v>
      </c>
      <c r="BQ570">
        <v>5</v>
      </c>
      <c r="BS570" t="s">
        <v>219</v>
      </c>
      <c r="BT570" t="s">
        <v>220</v>
      </c>
      <c r="BU570" t="s">
        <v>206</v>
      </c>
      <c r="BX570" t="s">
        <v>221</v>
      </c>
      <c r="BY570" t="s">
        <v>221</v>
      </c>
      <c r="CA570" t="s">
        <v>287</v>
      </c>
      <c r="CC570" t="s">
        <v>776</v>
      </c>
      <c r="CD570" t="s">
        <v>223</v>
      </c>
      <c r="CE570" t="s">
        <v>225</v>
      </c>
      <c r="CF570" t="s">
        <v>226</v>
      </c>
      <c r="CG570" t="s">
        <v>343</v>
      </c>
      <c r="CH570" t="s">
        <v>228</v>
      </c>
      <c r="CI570" t="s">
        <v>1618</v>
      </c>
      <c r="CJ570" t="s">
        <v>206</v>
      </c>
      <c r="CK570" t="s">
        <v>230</v>
      </c>
      <c r="CL570" t="s">
        <v>231</v>
      </c>
      <c r="CM570" t="s">
        <v>232</v>
      </c>
      <c r="CN570" t="s">
        <v>233</v>
      </c>
      <c r="CP570" t="s">
        <v>212</v>
      </c>
      <c r="CQ570" t="s">
        <v>212</v>
      </c>
      <c r="CR570" t="s">
        <v>212</v>
      </c>
      <c r="CS570" t="s">
        <v>212</v>
      </c>
      <c r="CY570" t="s">
        <v>212</v>
      </c>
      <c r="DB570" t="s">
        <v>234</v>
      </c>
      <c r="DE570" t="s">
        <v>212</v>
      </c>
      <c r="DF570" t="s">
        <v>212</v>
      </c>
      <c r="DG570" t="s">
        <v>235</v>
      </c>
      <c r="DH570" t="s">
        <v>212</v>
      </c>
      <c r="DJ570" t="s">
        <v>236</v>
      </c>
      <c r="DM570" t="s">
        <v>212</v>
      </c>
    </row>
    <row r="571" spans="1:117" x14ac:dyDescent="0.3">
      <c r="A571">
        <v>347037</v>
      </c>
      <c r="B571">
        <v>313619</v>
      </c>
      <c r="C571" t="str">
        <f>"090309550540"</f>
        <v>090309550540</v>
      </c>
      <c r="D571" t="s">
        <v>1619</v>
      </c>
      <c r="E571" t="s">
        <v>425</v>
      </c>
      <c r="F571" t="s">
        <v>971</v>
      </c>
      <c r="G571" s="1">
        <v>39881</v>
      </c>
      <c r="I571" t="s">
        <v>240</v>
      </c>
      <c r="J571" t="s">
        <v>200</v>
      </c>
      <c r="K571" t="s">
        <v>1620</v>
      </c>
      <c r="R571" t="str">
        <f>"КАЗАХСТАН, АКМОЛИНСКАЯ, СТЕПНОГОРСК, 27, 34"</f>
        <v>КАЗАХСТАН, АКМОЛИНСКАЯ, СТЕПНОГОРСК, 27, 34</v>
      </c>
      <c r="S571" t="str">
        <f>"ҚАЗАҚСТАН, АҚМОЛА, СТЕПНОГОР, 27, 34"</f>
        <v>ҚАЗАҚСТАН, АҚМОЛА, СТЕПНОГОР, 27, 34</v>
      </c>
      <c r="T571" t="str">
        <f>"27, 34"</f>
        <v>27, 34</v>
      </c>
      <c r="U571" t="str">
        <f>"27, 34"</f>
        <v>27, 34</v>
      </c>
      <c r="AC571" t="str">
        <f>"2016-09-01T00:00:00"</f>
        <v>2016-09-01T00:00:00</v>
      </c>
      <c r="AD571" t="str">
        <f>"1"</f>
        <v>1</v>
      </c>
      <c r="AG571" t="s">
        <v>202</v>
      </c>
      <c r="AH571" t="str">
        <f>"ruslan@mail.ru"</f>
        <v>ruslan@mail.ru</v>
      </c>
      <c r="AI571" t="s">
        <v>203</v>
      </c>
      <c r="AJ571" t="s">
        <v>286</v>
      </c>
      <c r="AK571" t="s">
        <v>205</v>
      </c>
      <c r="AL571" t="s">
        <v>206</v>
      </c>
      <c r="AN571" t="s">
        <v>207</v>
      </c>
      <c r="AO571">
        <v>1</v>
      </c>
      <c r="AP571" t="s">
        <v>208</v>
      </c>
      <c r="AQ571" t="s">
        <v>209</v>
      </c>
      <c r="AR571" t="s">
        <v>210</v>
      </c>
      <c r="AW571" t="s">
        <v>206</v>
      </c>
      <c r="AX571" t="s">
        <v>211</v>
      </c>
      <c r="AZ571" t="s">
        <v>209</v>
      </c>
      <c r="BI571" t="s">
        <v>212</v>
      </c>
      <c r="BJ571" t="s">
        <v>213</v>
      </c>
      <c r="BK571" t="s">
        <v>214</v>
      </c>
      <c r="BL571" t="s">
        <v>215</v>
      </c>
      <c r="BN571" t="s">
        <v>247</v>
      </c>
      <c r="BO571" t="s">
        <v>209</v>
      </c>
      <c r="BP571" t="s">
        <v>217</v>
      </c>
      <c r="BQ571" t="s">
        <v>329</v>
      </c>
      <c r="BS571" t="s">
        <v>219</v>
      </c>
      <c r="BT571" t="s">
        <v>220</v>
      </c>
      <c r="BU571" t="s">
        <v>206</v>
      </c>
      <c r="BX571" t="s">
        <v>234</v>
      </c>
      <c r="BY571" t="s">
        <v>234</v>
      </c>
      <c r="CA571" t="s">
        <v>287</v>
      </c>
      <c r="CC571" t="s">
        <v>222</v>
      </c>
      <c r="CD571" t="s">
        <v>223</v>
      </c>
      <c r="CE571" t="s">
        <v>242</v>
      </c>
      <c r="CJ571" t="s">
        <v>206</v>
      </c>
      <c r="CK571" t="s">
        <v>230</v>
      </c>
      <c r="CL571" t="s">
        <v>231</v>
      </c>
      <c r="CM571" t="s">
        <v>232</v>
      </c>
      <c r="CN571" t="s">
        <v>233</v>
      </c>
      <c r="CP571" t="s">
        <v>212</v>
      </c>
      <c r="CQ571" t="s">
        <v>212</v>
      </c>
      <c r="CR571" t="s">
        <v>212</v>
      </c>
      <c r="CS571" t="s">
        <v>212</v>
      </c>
      <c r="CY571" t="s">
        <v>212</v>
      </c>
      <c r="DB571" t="s">
        <v>234</v>
      </c>
      <c r="DE571" t="s">
        <v>212</v>
      </c>
      <c r="DF571" t="s">
        <v>212</v>
      </c>
      <c r="DG571" t="s">
        <v>235</v>
      </c>
      <c r="DH571" t="s">
        <v>212</v>
      </c>
      <c r="DJ571" t="s">
        <v>236</v>
      </c>
      <c r="DM571" t="s">
        <v>212</v>
      </c>
    </row>
    <row r="572" spans="1:117" x14ac:dyDescent="0.3">
      <c r="A572">
        <v>346444</v>
      </c>
      <c r="B572">
        <v>313103</v>
      </c>
      <c r="C572" t="str">
        <f>"110714503011"</f>
        <v>110714503011</v>
      </c>
      <c r="D572" t="s">
        <v>1621</v>
      </c>
      <c r="E572" t="s">
        <v>520</v>
      </c>
      <c r="F572" t="s">
        <v>259</v>
      </c>
      <c r="G572" s="1">
        <v>40738</v>
      </c>
      <c r="I572" t="s">
        <v>240</v>
      </c>
      <c r="J572" t="s">
        <v>200</v>
      </c>
      <c r="K572" t="s">
        <v>260</v>
      </c>
      <c r="R572" t="str">
        <f>"КАЗАХСТАН, АКМОЛИНСКАЯ, СТЕПНОГОРСК, 20/1, 4"</f>
        <v>КАЗАХСТАН, АКМОЛИНСКАЯ, СТЕПНОГОРСК, 20/1, 4</v>
      </c>
      <c r="S572" t="str">
        <f>"ҚАЗАҚСТАН, АҚМОЛА, СТЕПНОГОР, 20/1, 4"</f>
        <v>ҚАЗАҚСТАН, АҚМОЛА, СТЕПНОГОР, 20/1, 4</v>
      </c>
      <c r="T572" t="str">
        <f>"20/1, 4"</f>
        <v>20/1, 4</v>
      </c>
      <c r="U572" t="str">
        <f>"20/1, 4"</f>
        <v>20/1, 4</v>
      </c>
      <c r="AC572" t="str">
        <f>"2018-08-29T00:00:00"</f>
        <v>2018-08-29T00:00:00</v>
      </c>
      <c r="AD572" t="str">
        <f>"140"</f>
        <v>140</v>
      </c>
      <c r="AG572" t="s">
        <v>202</v>
      </c>
      <c r="AI572" t="s">
        <v>203</v>
      </c>
      <c r="AJ572" t="s">
        <v>348</v>
      </c>
      <c r="AK572" t="s">
        <v>261</v>
      </c>
      <c r="AL572" t="s">
        <v>206</v>
      </c>
      <c r="AN572" t="s">
        <v>207</v>
      </c>
      <c r="AO572">
        <v>1</v>
      </c>
      <c r="AP572" t="s">
        <v>208</v>
      </c>
      <c r="AQ572" t="s">
        <v>209</v>
      </c>
      <c r="AR572" t="s">
        <v>307</v>
      </c>
      <c r="AW572" t="s">
        <v>206</v>
      </c>
      <c r="AX572" t="s">
        <v>211</v>
      </c>
      <c r="AZ572" t="s">
        <v>209</v>
      </c>
      <c r="BI572" t="s">
        <v>212</v>
      </c>
      <c r="BJ572" t="s">
        <v>213</v>
      </c>
      <c r="BK572" t="s">
        <v>214</v>
      </c>
      <c r="BL572" t="s">
        <v>215</v>
      </c>
      <c r="BN572" t="s">
        <v>247</v>
      </c>
      <c r="BO572" t="s">
        <v>209</v>
      </c>
      <c r="BP572" t="s">
        <v>415</v>
      </c>
      <c r="BQ572" t="s">
        <v>1622</v>
      </c>
      <c r="BS572" t="s">
        <v>219</v>
      </c>
      <c r="BT572" t="s">
        <v>220</v>
      </c>
      <c r="BU572" t="s">
        <v>206</v>
      </c>
      <c r="BX572" t="s">
        <v>221</v>
      </c>
      <c r="BY572" t="s">
        <v>221</v>
      </c>
      <c r="CA572" t="s">
        <v>222</v>
      </c>
      <c r="CB572" t="s">
        <v>223</v>
      </c>
      <c r="CC572" t="s">
        <v>222</v>
      </c>
      <c r="CD572" t="s">
        <v>223</v>
      </c>
      <c r="CE572" t="s">
        <v>225</v>
      </c>
      <c r="CF572" t="s">
        <v>226</v>
      </c>
      <c r="CG572" t="s">
        <v>227</v>
      </c>
      <c r="CH572" t="s">
        <v>209</v>
      </c>
      <c r="CI572" t="s">
        <v>1623</v>
      </c>
      <c r="CJ572" t="s">
        <v>206</v>
      </c>
      <c r="CK572" t="s">
        <v>230</v>
      </c>
      <c r="CL572" t="s">
        <v>231</v>
      </c>
      <c r="CM572" t="s">
        <v>232</v>
      </c>
      <c r="CN572" t="s">
        <v>233</v>
      </c>
      <c r="CP572" t="s">
        <v>212</v>
      </c>
      <c r="CQ572" t="s">
        <v>212</v>
      </c>
      <c r="CR572" t="s">
        <v>212</v>
      </c>
      <c r="CS572" t="s">
        <v>212</v>
      </c>
      <c r="CY572" t="s">
        <v>212</v>
      </c>
      <c r="DB572" t="s">
        <v>234</v>
      </c>
      <c r="DE572" t="s">
        <v>212</v>
      </c>
      <c r="DF572" t="s">
        <v>212</v>
      </c>
      <c r="DG572" t="s">
        <v>235</v>
      </c>
      <c r="DH572" t="s">
        <v>212</v>
      </c>
      <c r="DJ572" t="s">
        <v>236</v>
      </c>
      <c r="DM572" t="s">
        <v>212</v>
      </c>
    </row>
    <row r="573" spans="1:117" x14ac:dyDescent="0.3">
      <c r="A573">
        <v>346400</v>
      </c>
      <c r="B573">
        <v>313069</v>
      </c>
      <c r="C573" t="str">
        <f>"080719554590"</f>
        <v>080719554590</v>
      </c>
      <c r="D573" t="s">
        <v>1624</v>
      </c>
      <c r="E573" t="s">
        <v>828</v>
      </c>
      <c r="F573" t="s">
        <v>843</v>
      </c>
      <c r="G573" s="1">
        <v>39648</v>
      </c>
      <c r="I573" t="s">
        <v>240</v>
      </c>
      <c r="J573" t="s">
        <v>200</v>
      </c>
      <c r="K573" t="s">
        <v>268</v>
      </c>
      <c r="Q573" t="s">
        <v>212</v>
      </c>
      <c r="R573" t="str">
        <f>"АНДОРРА, АКМОЛИНСКАЯ, СТЕПНОГОРСК, 10, 75"</f>
        <v>АНДОРРА, АКМОЛИНСКАЯ, СТЕПНОГОРСК, 10, 75</v>
      </c>
      <c r="S573" t="str">
        <f>"АНДОРРА, АҚМОЛА, СТЕПНОГОР, 10, 75"</f>
        <v>АНДОРРА, АҚМОЛА, СТЕПНОГОР, 10, 75</v>
      </c>
      <c r="T573" t="str">
        <f>"10, 75"</f>
        <v>10, 75</v>
      </c>
      <c r="U573" t="str">
        <f>"10, 75"</f>
        <v>10, 75</v>
      </c>
      <c r="AC573" t="str">
        <f>"2015-09-01T00:00:00"</f>
        <v>2015-09-01T00:00:00</v>
      </c>
      <c r="AD573" t="str">
        <f>"1"</f>
        <v>1</v>
      </c>
      <c r="AG573" t="s">
        <v>202</v>
      </c>
      <c r="AH573" t="str">
        <f>"ckool007@mail.ru"</f>
        <v>ckool007@mail.ru</v>
      </c>
      <c r="AI573" t="s">
        <v>203</v>
      </c>
      <c r="AJ573" t="s">
        <v>204</v>
      </c>
      <c r="AK573" t="s">
        <v>205</v>
      </c>
      <c r="AL573" t="s">
        <v>206</v>
      </c>
      <c r="AN573" t="s">
        <v>207</v>
      </c>
      <c r="AO573">
        <v>1</v>
      </c>
      <c r="AP573" t="s">
        <v>208</v>
      </c>
      <c r="AQ573" t="s">
        <v>209</v>
      </c>
      <c r="AR573" t="s">
        <v>210</v>
      </c>
      <c r="AW573" t="s">
        <v>206</v>
      </c>
      <c r="AX573" t="s">
        <v>211</v>
      </c>
      <c r="AZ573" t="s">
        <v>209</v>
      </c>
      <c r="BI573" t="s">
        <v>212</v>
      </c>
      <c r="BJ573" t="s">
        <v>213</v>
      </c>
      <c r="BK573" t="s">
        <v>214</v>
      </c>
      <c r="BL573" t="s">
        <v>215</v>
      </c>
      <c r="BN573" t="s">
        <v>216</v>
      </c>
      <c r="BO573" t="s">
        <v>209</v>
      </c>
      <c r="BP573" t="s">
        <v>241</v>
      </c>
      <c r="BQ573">
        <v>4</v>
      </c>
      <c r="BS573" t="s">
        <v>219</v>
      </c>
      <c r="BT573" t="s">
        <v>220</v>
      </c>
      <c r="BU573" t="s">
        <v>206</v>
      </c>
      <c r="BX573" t="s">
        <v>234</v>
      </c>
      <c r="BY573" t="s">
        <v>234</v>
      </c>
      <c r="CA573" t="s">
        <v>222</v>
      </c>
      <c r="CB573" t="s">
        <v>223</v>
      </c>
      <c r="CC573" t="s">
        <v>209</v>
      </c>
      <c r="CE573" t="s">
        <v>225</v>
      </c>
      <c r="CF573" t="s">
        <v>226</v>
      </c>
      <c r="CG573" t="s">
        <v>227</v>
      </c>
      <c r="CH573" t="s">
        <v>209</v>
      </c>
      <c r="CI573" t="s">
        <v>1625</v>
      </c>
      <c r="CJ573" t="s">
        <v>206</v>
      </c>
      <c r="CK573" t="s">
        <v>230</v>
      </c>
      <c r="CL573" t="s">
        <v>231</v>
      </c>
      <c r="CM573" t="s">
        <v>232</v>
      </c>
      <c r="CN573" t="s">
        <v>233</v>
      </c>
      <c r="CP573" t="s">
        <v>212</v>
      </c>
      <c r="CQ573" t="s">
        <v>212</v>
      </c>
      <c r="CR573" t="s">
        <v>212</v>
      </c>
      <c r="CS573" t="s">
        <v>212</v>
      </c>
      <c r="CY573" t="s">
        <v>212</v>
      </c>
      <c r="DB573" t="s">
        <v>234</v>
      </c>
      <c r="DE573" t="s">
        <v>212</v>
      </c>
      <c r="DF573" t="s">
        <v>212</v>
      </c>
      <c r="DG573" t="s">
        <v>235</v>
      </c>
      <c r="DH573" t="s">
        <v>212</v>
      </c>
      <c r="DJ573" t="s">
        <v>236</v>
      </c>
      <c r="DM573" t="s">
        <v>212</v>
      </c>
    </row>
    <row r="574" spans="1:117" x14ac:dyDescent="0.3">
      <c r="A574">
        <v>346370</v>
      </c>
      <c r="B574">
        <v>313049</v>
      </c>
      <c r="C574" t="str">
        <f>"090830550206"</f>
        <v>090830550206</v>
      </c>
      <c r="D574" t="s">
        <v>1626</v>
      </c>
      <c r="E574" t="s">
        <v>720</v>
      </c>
      <c r="F574" t="s">
        <v>558</v>
      </c>
      <c r="G574" s="1">
        <v>40055</v>
      </c>
      <c r="I574" t="s">
        <v>240</v>
      </c>
      <c r="J574" t="s">
        <v>200</v>
      </c>
      <c r="K574" t="s">
        <v>260</v>
      </c>
      <c r="R574" t="str">
        <f>"АНДОРРА, АКМОЛИНСКАЯ, СТЕПНОГОРСК, 39, 52"</f>
        <v>АНДОРРА, АКМОЛИНСКАЯ, СТЕПНОГОРСК, 39, 52</v>
      </c>
      <c r="S574" t="str">
        <f>"АНДОРРА, АҚМОЛА, СТЕПНОГОР, 39, 52"</f>
        <v>АНДОРРА, АҚМОЛА, СТЕПНОГОР, 39, 52</v>
      </c>
      <c r="T574" t="str">
        <f>"39, 52"</f>
        <v>39, 52</v>
      </c>
      <c r="U574" t="str">
        <f>"39, 52"</f>
        <v>39, 52</v>
      </c>
      <c r="AC574" t="str">
        <f>"2015-09-01T00:00:00"</f>
        <v>2015-09-01T00:00:00</v>
      </c>
      <c r="AD574" t="str">
        <f>"1"</f>
        <v>1</v>
      </c>
      <c r="AG574" t="s">
        <v>202</v>
      </c>
      <c r="AH574" t="str">
        <f>"ckool007@mail.ru"</f>
        <v>ckool007@mail.ru</v>
      </c>
      <c r="AI574" t="s">
        <v>203</v>
      </c>
      <c r="AJ574" t="s">
        <v>286</v>
      </c>
      <c r="AK574" t="s">
        <v>205</v>
      </c>
      <c r="AL574" t="s">
        <v>206</v>
      </c>
      <c r="AN574" t="s">
        <v>207</v>
      </c>
      <c r="AO574">
        <v>1</v>
      </c>
      <c r="AP574" t="s">
        <v>208</v>
      </c>
      <c r="AQ574" t="s">
        <v>209</v>
      </c>
      <c r="AR574" t="s">
        <v>210</v>
      </c>
      <c r="AW574" t="s">
        <v>206</v>
      </c>
      <c r="AX574" t="s">
        <v>211</v>
      </c>
      <c r="AZ574" t="s">
        <v>209</v>
      </c>
      <c r="BI574" t="s">
        <v>212</v>
      </c>
      <c r="BJ574" t="s">
        <v>213</v>
      </c>
      <c r="BK574" t="s">
        <v>214</v>
      </c>
      <c r="BL574" t="s">
        <v>215</v>
      </c>
      <c r="BN574" t="s">
        <v>247</v>
      </c>
      <c r="BO574" t="s">
        <v>209</v>
      </c>
      <c r="BP574" t="s">
        <v>241</v>
      </c>
      <c r="BQ574">
        <v>3</v>
      </c>
      <c r="BS574" t="s">
        <v>219</v>
      </c>
      <c r="BT574" t="s">
        <v>220</v>
      </c>
      <c r="BU574" t="s">
        <v>206</v>
      </c>
      <c r="BX574" t="s">
        <v>221</v>
      </c>
      <c r="BY574" t="s">
        <v>221</v>
      </c>
      <c r="CA574" t="s">
        <v>287</v>
      </c>
      <c r="CC574" t="s">
        <v>209</v>
      </c>
      <c r="CE574" t="s">
        <v>242</v>
      </c>
      <c r="CJ574" t="s">
        <v>206</v>
      </c>
      <c r="CK574" t="s">
        <v>230</v>
      </c>
      <c r="CL574" t="s">
        <v>231</v>
      </c>
      <c r="CM574" t="s">
        <v>232</v>
      </c>
      <c r="CN574" t="s">
        <v>233</v>
      </c>
      <c r="CP574" t="s">
        <v>212</v>
      </c>
      <c r="CQ574" t="s">
        <v>212</v>
      </c>
      <c r="CR574" t="s">
        <v>212</v>
      </c>
      <c r="CS574" t="s">
        <v>212</v>
      </c>
      <c r="CY574" t="s">
        <v>212</v>
      </c>
      <c r="DB574" t="s">
        <v>234</v>
      </c>
      <c r="DE574" t="s">
        <v>212</v>
      </c>
      <c r="DF574" t="s">
        <v>212</v>
      </c>
      <c r="DG574" t="s">
        <v>235</v>
      </c>
      <c r="DH574" t="s">
        <v>212</v>
      </c>
      <c r="DJ574" t="s">
        <v>236</v>
      </c>
      <c r="DM574" t="s">
        <v>212</v>
      </c>
    </row>
    <row r="575" spans="1:117" x14ac:dyDescent="0.3">
      <c r="A575">
        <v>346280</v>
      </c>
      <c r="B575">
        <v>312965</v>
      </c>
      <c r="C575" t="str">
        <f>"081024651438"</f>
        <v>081024651438</v>
      </c>
      <c r="D575" t="s">
        <v>1627</v>
      </c>
      <c r="E575" t="s">
        <v>1521</v>
      </c>
      <c r="F575" t="s">
        <v>1628</v>
      </c>
      <c r="G575" s="1">
        <v>39745</v>
      </c>
      <c r="I575" t="s">
        <v>199</v>
      </c>
      <c r="J575" t="s">
        <v>200</v>
      </c>
      <c r="K575" t="s">
        <v>260</v>
      </c>
      <c r="R575" t="str">
        <f>"КАЗАХСТАН, АКМОЛИНСКАЯ, СТЕПНОГОРСК, 74, 9"</f>
        <v>КАЗАХСТАН, АКМОЛИНСКАЯ, СТЕПНОГОРСК, 74, 9</v>
      </c>
      <c r="S575" t="str">
        <f>"ҚАЗАҚСТАН, АҚМОЛА, СТЕПНОГОР, 74, 9"</f>
        <v>ҚАЗАҚСТАН, АҚМОЛА, СТЕПНОГОР, 74, 9</v>
      </c>
      <c r="T575" t="str">
        <f>"74, 9"</f>
        <v>74, 9</v>
      </c>
      <c r="U575" t="str">
        <f>"74, 9"</f>
        <v>74, 9</v>
      </c>
      <c r="AC575" t="str">
        <f>"2015-09-01T00:00:00"</f>
        <v>2015-09-01T00:00:00</v>
      </c>
      <c r="AD575" t="str">
        <f>"1"</f>
        <v>1</v>
      </c>
      <c r="AG575" t="s">
        <v>202</v>
      </c>
      <c r="AH575" t="str">
        <f>"ckool007@mail.ru"</f>
        <v>ckool007@mail.ru</v>
      </c>
      <c r="AI575" t="s">
        <v>203</v>
      </c>
      <c r="AJ575" t="s">
        <v>204</v>
      </c>
      <c r="AK575" t="s">
        <v>246</v>
      </c>
      <c r="AL575" t="s">
        <v>206</v>
      </c>
      <c r="AN575" t="s">
        <v>207</v>
      </c>
      <c r="AO575">
        <v>1</v>
      </c>
      <c r="AP575" t="s">
        <v>208</v>
      </c>
      <c r="AQ575" t="s">
        <v>209</v>
      </c>
      <c r="AR575" t="s">
        <v>210</v>
      </c>
      <c r="AW575" t="s">
        <v>206</v>
      </c>
      <c r="AX575" t="s">
        <v>211</v>
      </c>
      <c r="AZ575" t="s">
        <v>209</v>
      </c>
      <c r="BI575" t="s">
        <v>212</v>
      </c>
      <c r="BJ575" t="s">
        <v>213</v>
      </c>
      <c r="BK575" t="s">
        <v>214</v>
      </c>
      <c r="BL575" t="s">
        <v>215</v>
      </c>
      <c r="BN575" t="s">
        <v>216</v>
      </c>
      <c r="BO575" t="s">
        <v>209</v>
      </c>
      <c r="BP575" t="s">
        <v>241</v>
      </c>
      <c r="BQ575">
        <v>4</v>
      </c>
      <c r="BS575" t="s">
        <v>219</v>
      </c>
      <c r="BT575" t="s">
        <v>220</v>
      </c>
      <c r="BU575" t="s">
        <v>206</v>
      </c>
      <c r="BX575" t="s">
        <v>221</v>
      </c>
      <c r="BY575" t="s">
        <v>221</v>
      </c>
      <c r="CA575" t="s">
        <v>263</v>
      </c>
      <c r="CB575" t="s">
        <v>223</v>
      </c>
      <c r="CC575" t="s">
        <v>209</v>
      </c>
      <c r="CE575" t="s">
        <v>1629</v>
      </c>
      <c r="CF575" t="s">
        <v>1630</v>
      </c>
      <c r="CG575" t="s">
        <v>1631</v>
      </c>
      <c r="CH575" t="s">
        <v>1632</v>
      </c>
      <c r="CI575" t="s">
        <v>1633</v>
      </c>
      <c r="CJ575" t="s">
        <v>206</v>
      </c>
      <c r="CK575" t="s">
        <v>230</v>
      </c>
      <c r="CL575" t="s">
        <v>231</v>
      </c>
      <c r="CM575" t="s">
        <v>232</v>
      </c>
      <c r="CN575" t="s">
        <v>233</v>
      </c>
      <c r="CP575" t="s">
        <v>212</v>
      </c>
      <c r="CQ575" t="s">
        <v>212</v>
      </c>
      <c r="CR575" t="s">
        <v>212</v>
      </c>
      <c r="CS575" t="s">
        <v>212</v>
      </c>
      <c r="CY575" t="s">
        <v>212</v>
      </c>
      <c r="DB575" t="s">
        <v>234</v>
      </c>
      <c r="DE575" t="s">
        <v>212</v>
      </c>
      <c r="DF575" t="s">
        <v>212</v>
      </c>
      <c r="DG575" t="s">
        <v>235</v>
      </c>
      <c r="DH575" t="s">
        <v>212</v>
      </c>
      <c r="DJ575" t="s">
        <v>236</v>
      </c>
      <c r="DM575" t="s">
        <v>212</v>
      </c>
    </row>
    <row r="576" spans="1:117" x14ac:dyDescent="0.3">
      <c r="A576">
        <v>346150</v>
      </c>
      <c r="B576">
        <v>312852</v>
      </c>
      <c r="C576" t="str">
        <f>"090314550052"</f>
        <v>090314550052</v>
      </c>
      <c r="D576" t="s">
        <v>588</v>
      </c>
      <c r="E576" t="s">
        <v>1634</v>
      </c>
      <c r="F576" t="s">
        <v>558</v>
      </c>
      <c r="G576" s="1">
        <v>39886</v>
      </c>
      <c r="I576" t="s">
        <v>240</v>
      </c>
      <c r="J576" t="s">
        <v>200</v>
      </c>
      <c r="K576" t="s">
        <v>201</v>
      </c>
      <c r="R576" t="str">
        <f>"АНДОРРА, АКМОЛИНСКАЯ, СТЕПНОГОРСК, 11А, 39"</f>
        <v>АНДОРРА, АКМОЛИНСКАЯ, СТЕПНОГОРСК, 11А, 39</v>
      </c>
      <c r="S576" t="str">
        <f>"АНДОРРА, АҚМОЛА, СТЕПНОГОР, 11А, 39"</f>
        <v>АНДОРРА, АҚМОЛА, СТЕПНОГОР, 11А, 39</v>
      </c>
      <c r="T576" t="str">
        <f>"11А, 39"</f>
        <v>11А, 39</v>
      </c>
      <c r="U576" t="str">
        <f>"11А, 39"</f>
        <v>11А, 39</v>
      </c>
      <c r="AC576" t="str">
        <f>"2015-09-01T00:00:00"</f>
        <v>2015-09-01T00:00:00</v>
      </c>
      <c r="AD576" t="str">
        <f>"1"</f>
        <v>1</v>
      </c>
      <c r="AE576" t="str">
        <f>"2023-09-01T00:53:55"</f>
        <v>2023-09-01T00:53:55</v>
      </c>
      <c r="AF576" t="str">
        <f>"2024-05-25T00:53:55"</f>
        <v>2024-05-25T00:53:55</v>
      </c>
      <c r="AG576" t="s">
        <v>202</v>
      </c>
      <c r="AH576" t="str">
        <f>"ckool007@mail.ru"</f>
        <v>ckool007@mail.ru</v>
      </c>
      <c r="AI576" t="s">
        <v>203</v>
      </c>
      <c r="AJ576" t="s">
        <v>286</v>
      </c>
      <c r="AK576" t="s">
        <v>205</v>
      </c>
      <c r="AL576" t="s">
        <v>206</v>
      </c>
      <c r="AN576" t="s">
        <v>207</v>
      </c>
      <c r="AO576">
        <v>1</v>
      </c>
      <c r="AP576" t="s">
        <v>208</v>
      </c>
      <c r="AQ576" t="s">
        <v>209</v>
      </c>
      <c r="AR576" t="s">
        <v>210</v>
      </c>
      <c r="AW576" t="s">
        <v>206</v>
      </c>
      <c r="AX576" t="s">
        <v>211</v>
      </c>
      <c r="AZ576" t="s">
        <v>209</v>
      </c>
      <c r="BI576" t="s">
        <v>212</v>
      </c>
      <c r="BJ576" t="s">
        <v>213</v>
      </c>
      <c r="BK576" t="s">
        <v>214</v>
      </c>
      <c r="BL576" t="s">
        <v>215</v>
      </c>
      <c r="BN576" t="s">
        <v>216</v>
      </c>
      <c r="BO576" t="s">
        <v>209</v>
      </c>
      <c r="BP576" t="s">
        <v>217</v>
      </c>
      <c r="BQ576" t="s">
        <v>218</v>
      </c>
      <c r="BS576" t="s">
        <v>219</v>
      </c>
      <c r="BT576" t="s">
        <v>220</v>
      </c>
      <c r="BU576" t="s">
        <v>206</v>
      </c>
      <c r="BX576" t="s">
        <v>221</v>
      </c>
      <c r="BY576" t="s">
        <v>221</v>
      </c>
      <c r="CA576" t="s">
        <v>263</v>
      </c>
      <c r="CB576" t="s">
        <v>223</v>
      </c>
      <c r="CC576" t="s">
        <v>209</v>
      </c>
      <c r="CE576" t="s">
        <v>242</v>
      </c>
      <c r="CJ576" t="s">
        <v>206</v>
      </c>
      <c r="CK576" t="s">
        <v>230</v>
      </c>
      <c r="CL576" t="s">
        <v>231</v>
      </c>
      <c r="CM576" t="s">
        <v>232</v>
      </c>
      <c r="CN576" t="s">
        <v>233</v>
      </c>
      <c r="CP576" t="s">
        <v>212</v>
      </c>
      <c r="CQ576" t="s">
        <v>212</v>
      </c>
      <c r="CR576" t="s">
        <v>212</v>
      </c>
      <c r="CS576" t="s">
        <v>212</v>
      </c>
      <c r="CY576" t="s">
        <v>212</v>
      </c>
      <c r="DB576" t="s">
        <v>234</v>
      </c>
      <c r="DE576" t="s">
        <v>212</v>
      </c>
      <c r="DF576" t="s">
        <v>212</v>
      </c>
      <c r="DG576" t="s">
        <v>235</v>
      </c>
      <c r="DH576" t="s">
        <v>212</v>
      </c>
      <c r="DJ576" t="s">
        <v>236</v>
      </c>
      <c r="DM576" t="s">
        <v>212</v>
      </c>
    </row>
    <row r="577" spans="1:117" x14ac:dyDescent="0.3">
      <c r="A577">
        <v>345695</v>
      </c>
      <c r="B577">
        <v>312459</v>
      </c>
      <c r="C577" t="str">
        <f>"100211653197"</f>
        <v>100211653197</v>
      </c>
      <c r="D577" t="s">
        <v>1635</v>
      </c>
      <c r="E577" t="s">
        <v>1006</v>
      </c>
      <c r="F577" t="s">
        <v>1163</v>
      </c>
      <c r="G577" s="1">
        <v>40220</v>
      </c>
      <c r="I577" t="s">
        <v>199</v>
      </c>
      <c r="J577" t="s">
        <v>200</v>
      </c>
      <c r="K577" t="s">
        <v>260</v>
      </c>
      <c r="R577" t="str">
        <f>"АНДОРРА, АКМОЛИНСКАЯ, СТЕПНОГОРСК, -, 20/1, 37"</f>
        <v>АНДОРРА, АКМОЛИНСКАЯ, СТЕПНОГОРСК, -, 20/1, 37</v>
      </c>
      <c r="S577" t="str">
        <f>"АНДОРРА, АҚМОЛА, СТЕПНОГОР, -, 20/1, 37"</f>
        <v>АНДОРРА, АҚМОЛА, СТЕПНОГОР, -, 20/1, 37</v>
      </c>
      <c r="T577" t="str">
        <f>"-, 20/1, 37"</f>
        <v>-, 20/1, 37</v>
      </c>
      <c r="U577" t="str">
        <f>"-, 20/1, 37"</f>
        <v>-, 20/1, 37</v>
      </c>
      <c r="AC577" t="str">
        <f>"2017-08-29T00:00:00"</f>
        <v>2017-08-29T00:00:00</v>
      </c>
      <c r="AD577" t="str">
        <f>"112"</f>
        <v>112</v>
      </c>
      <c r="AG577" t="s">
        <v>202</v>
      </c>
      <c r="AI577" t="s">
        <v>274</v>
      </c>
      <c r="AJ577" t="s">
        <v>300</v>
      </c>
      <c r="AK577" t="s">
        <v>261</v>
      </c>
      <c r="AL577" t="s">
        <v>206</v>
      </c>
      <c r="AN577" t="s">
        <v>207</v>
      </c>
      <c r="AO577">
        <v>1</v>
      </c>
      <c r="AP577" t="s">
        <v>208</v>
      </c>
      <c r="AQ577" t="s">
        <v>209</v>
      </c>
      <c r="AR577" t="s">
        <v>210</v>
      </c>
      <c r="AW577" t="s">
        <v>206</v>
      </c>
      <c r="AX577" t="s">
        <v>211</v>
      </c>
      <c r="AZ577" t="s">
        <v>209</v>
      </c>
      <c r="BI577" t="s">
        <v>212</v>
      </c>
      <c r="BJ577" t="s">
        <v>213</v>
      </c>
      <c r="BK577" t="s">
        <v>214</v>
      </c>
      <c r="BL577" t="s">
        <v>215</v>
      </c>
      <c r="BN577" t="s">
        <v>216</v>
      </c>
      <c r="BO577" t="s">
        <v>209</v>
      </c>
      <c r="BP577" t="s">
        <v>241</v>
      </c>
      <c r="BQ577">
        <v>4</v>
      </c>
      <c r="BS577" t="s">
        <v>219</v>
      </c>
      <c r="BT577" t="s">
        <v>220</v>
      </c>
      <c r="BU577" t="s">
        <v>206</v>
      </c>
      <c r="BX577" t="s">
        <v>221</v>
      </c>
      <c r="BY577" t="s">
        <v>221</v>
      </c>
      <c r="CA577" t="s">
        <v>222</v>
      </c>
      <c r="CB577" t="s">
        <v>223</v>
      </c>
      <c r="CC577" t="s">
        <v>301</v>
      </c>
      <c r="CD577" t="s">
        <v>223</v>
      </c>
      <c r="CE577" t="s">
        <v>225</v>
      </c>
      <c r="CF577" t="s">
        <v>226</v>
      </c>
      <c r="CG577" t="s">
        <v>227</v>
      </c>
      <c r="CH577" t="s">
        <v>209</v>
      </c>
      <c r="CI577" t="s">
        <v>1636</v>
      </c>
      <c r="CJ577" t="s">
        <v>206</v>
      </c>
      <c r="CK577" t="s">
        <v>230</v>
      </c>
      <c r="CL577" t="s">
        <v>231</v>
      </c>
      <c r="CM577" t="s">
        <v>232</v>
      </c>
      <c r="CN577" t="s">
        <v>233</v>
      </c>
      <c r="CP577" t="s">
        <v>212</v>
      </c>
      <c r="CQ577" t="s">
        <v>212</v>
      </c>
      <c r="CR577" t="s">
        <v>212</v>
      </c>
      <c r="CS577" t="s">
        <v>212</v>
      </c>
      <c r="CY577" t="s">
        <v>212</v>
      </c>
      <c r="DB577" t="s">
        <v>234</v>
      </c>
      <c r="DE577" t="s">
        <v>212</v>
      </c>
      <c r="DF577" t="s">
        <v>212</v>
      </c>
      <c r="DG577" t="s">
        <v>235</v>
      </c>
      <c r="DH577" t="s">
        <v>212</v>
      </c>
      <c r="DJ577" t="s">
        <v>236</v>
      </c>
      <c r="DM577" t="s">
        <v>212</v>
      </c>
    </row>
    <row r="578" spans="1:117" x14ac:dyDescent="0.3">
      <c r="A578">
        <v>344164</v>
      </c>
      <c r="B578">
        <v>311107</v>
      </c>
      <c r="C578" t="str">
        <f>"101113500605"</f>
        <v>101113500605</v>
      </c>
      <c r="D578" t="s">
        <v>1637</v>
      </c>
      <c r="E578" t="s">
        <v>532</v>
      </c>
      <c r="F578" t="s">
        <v>986</v>
      </c>
      <c r="G578" s="1">
        <v>40495</v>
      </c>
      <c r="I578" t="s">
        <v>240</v>
      </c>
      <c r="J578" t="s">
        <v>200</v>
      </c>
      <c r="K578" t="s">
        <v>260</v>
      </c>
      <c r="R578" t="str">
        <f>"КАЗАХСТАН, АКМОЛИНСКАЯ, СТЕПНОГОРСК, 43, 121"</f>
        <v>КАЗАХСТАН, АКМОЛИНСКАЯ, СТЕПНОГОРСК, 43, 121</v>
      </c>
      <c r="S578" t="str">
        <f>"ҚАЗАҚСТАН, АҚМОЛА, СТЕПНОГОР, 43, 121"</f>
        <v>ҚАЗАҚСТАН, АҚМОЛА, СТЕПНОГОР, 43, 121</v>
      </c>
      <c r="T578" t="str">
        <f>"43, 121"</f>
        <v>43, 121</v>
      </c>
      <c r="U578" t="str">
        <f>"43, 121"</f>
        <v>43, 121</v>
      </c>
      <c r="AC578" t="str">
        <f>"2017-08-29T00:00:00"</f>
        <v>2017-08-29T00:00:00</v>
      </c>
      <c r="AD578" t="str">
        <f>"112"</f>
        <v>112</v>
      </c>
      <c r="AG578" t="s">
        <v>202</v>
      </c>
      <c r="AI578" t="s">
        <v>274</v>
      </c>
      <c r="AJ578" t="s">
        <v>300</v>
      </c>
      <c r="AK578" t="s">
        <v>205</v>
      </c>
      <c r="AL578" t="s">
        <v>206</v>
      </c>
      <c r="AN578" t="s">
        <v>207</v>
      </c>
      <c r="AO578">
        <v>1</v>
      </c>
      <c r="AP578" t="s">
        <v>208</v>
      </c>
      <c r="AQ578" t="s">
        <v>209</v>
      </c>
      <c r="AR578" t="s">
        <v>210</v>
      </c>
      <c r="AW578" t="s">
        <v>206</v>
      </c>
      <c r="AX578" t="s">
        <v>211</v>
      </c>
      <c r="AZ578" t="s">
        <v>209</v>
      </c>
      <c r="BI578" t="s">
        <v>212</v>
      </c>
      <c r="BJ578" t="s">
        <v>213</v>
      </c>
      <c r="BK578" t="s">
        <v>214</v>
      </c>
      <c r="BL578" t="s">
        <v>215</v>
      </c>
      <c r="BN578" t="s">
        <v>216</v>
      </c>
      <c r="BO578" t="s">
        <v>209</v>
      </c>
      <c r="BP578" t="s">
        <v>241</v>
      </c>
      <c r="BQ578">
        <v>5</v>
      </c>
      <c r="BS578" t="s">
        <v>219</v>
      </c>
      <c r="BT578" t="s">
        <v>220</v>
      </c>
      <c r="BU578" t="s">
        <v>206</v>
      </c>
      <c r="BX578" t="s">
        <v>221</v>
      </c>
      <c r="BY578" t="s">
        <v>221</v>
      </c>
      <c r="CA578" t="s">
        <v>222</v>
      </c>
      <c r="CB578" t="s">
        <v>223</v>
      </c>
      <c r="CC578" t="s">
        <v>224</v>
      </c>
      <c r="CD578" t="s">
        <v>223</v>
      </c>
      <c r="CE578" t="s">
        <v>242</v>
      </c>
      <c r="CJ578" t="s">
        <v>206</v>
      </c>
      <c r="CK578" t="s">
        <v>230</v>
      </c>
      <c r="CL578" t="s">
        <v>231</v>
      </c>
      <c r="CM578" t="s">
        <v>232</v>
      </c>
      <c r="CN578" t="s">
        <v>233</v>
      </c>
      <c r="CP578" t="s">
        <v>212</v>
      </c>
      <c r="CQ578" t="s">
        <v>212</v>
      </c>
      <c r="CR578" t="s">
        <v>212</v>
      </c>
      <c r="CS578" t="s">
        <v>212</v>
      </c>
      <c r="CY578" t="s">
        <v>212</v>
      </c>
      <c r="DB578" t="s">
        <v>234</v>
      </c>
      <c r="DE578" t="s">
        <v>212</v>
      </c>
      <c r="DF578" t="s">
        <v>212</v>
      </c>
      <c r="DG578" t="s">
        <v>235</v>
      </c>
      <c r="DH578" t="s">
        <v>212</v>
      </c>
      <c r="DJ578" t="s">
        <v>236</v>
      </c>
      <c r="DM578" t="s">
        <v>212</v>
      </c>
    </row>
    <row r="579" spans="1:117" x14ac:dyDescent="0.3">
      <c r="A579">
        <v>343712</v>
      </c>
      <c r="B579">
        <v>310706</v>
      </c>
      <c r="C579" t="str">
        <f>"080627655317"</f>
        <v>080627655317</v>
      </c>
      <c r="D579" t="s">
        <v>1638</v>
      </c>
      <c r="E579" t="s">
        <v>279</v>
      </c>
      <c r="F579" t="s">
        <v>368</v>
      </c>
      <c r="G579" s="1">
        <v>39626</v>
      </c>
      <c r="I579" t="s">
        <v>199</v>
      </c>
      <c r="J579" t="s">
        <v>200</v>
      </c>
      <c r="K579" t="s">
        <v>260</v>
      </c>
      <c r="R579" t="str">
        <f>"АНДОРРА, АКМОЛИНСКАЯ, СТЕПНОГОРСК, 38, 32"</f>
        <v>АНДОРРА, АКМОЛИНСКАЯ, СТЕПНОГОРСК, 38, 32</v>
      </c>
      <c r="S579" t="str">
        <f>"АНДОРРА, АҚМОЛА, СТЕПНОГОР, 38, 32"</f>
        <v>АНДОРРА, АҚМОЛА, СТЕПНОГОР, 38, 32</v>
      </c>
      <c r="T579" t="str">
        <f>"38, 32"</f>
        <v>38, 32</v>
      </c>
      <c r="U579" t="str">
        <f>"38, 32"</f>
        <v>38, 32</v>
      </c>
      <c r="AC579" t="str">
        <f>"2015-09-01T00:00:00"</f>
        <v>2015-09-01T00:00:00</v>
      </c>
      <c r="AD579" t="str">
        <f>"1"</f>
        <v>1</v>
      </c>
      <c r="AG579" t="s">
        <v>202</v>
      </c>
      <c r="AH579" t="str">
        <f t="shared" ref="AH579:AH590" si="19">"ckool007@mail.ru"</f>
        <v>ckool007@mail.ru</v>
      </c>
      <c r="AI579" t="s">
        <v>203</v>
      </c>
      <c r="AJ579" t="s">
        <v>204</v>
      </c>
      <c r="AK579" t="s">
        <v>261</v>
      </c>
      <c r="AL579" t="s">
        <v>206</v>
      </c>
      <c r="AN579" t="s">
        <v>207</v>
      </c>
      <c r="AO579">
        <v>1</v>
      </c>
      <c r="AP579" t="s">
        <v>208</v>
      </c>
      <c r="AQ579" t="s">
        <v>209</v>
      </c>
      <c r="AR579" t="s">
        <v>210</v>
      </c>
      <c r="AW579" t="s">
        <v>206</v>
      </c>
      <c r="AX579" t="s">
        <v>211</v>
      </c>
      <c r="AZ579" t="s">
        <v>209</v>
      </c>
      <c r="BI579" t="s">
        <v>212</v>
      </c>
      <c r="BJ579" t="s">
        <v>213</v>
      </c>
      <c r="BK579" t="s">
        <v>214</v>
      </c>
      <c r="BL579" t="s">
        <v>215</v>
      </c>
      <c r="BN579" t="s">
        <v>216</v>
      </c>
      <c r="BO579" t="s">
        <v>209</v>
      </c>
      <c r="BP579" t="s">
        <v>241</v>
      </c>
      <c r="BQ579">
        <v>4</v>
      </c>
      <c r="BS579" t="s">
        <v>219</v>
      </c>
      <c r="BT579" t="s">
        <v>220</v>
      </c>
      <c r="BU579" t="s">
        <v>206</v>
      </c>
      <c r="BX579" t="s">
        <v>221</v>
      </c>
      <c r="BY579" t="s">
        <v>221</v>
      </c>
      <c r="CA579" t="s">
        <v>263</v>
      </c>
      <c r="CB579" t="s">
        <v>223</v>
      </c>
      <c r="CC579" t="s">
        <v>209</v>
      </c>
      <c r="CE579" t="s">
        <v>242</v>
      </c>
      <c r="CJ579" t="s">
        <v>206</v>
      </c>
      <c r="CK579" t="s">
        <v>264</v>
      </c>
      <c r="CL579" t="s">
        <v>231</v>
      </c>
      <c r="CM579" t="s">
        <v>232</v>
      </c>
      <c r="CN579" t="s">
        <v>233</v>
      </c>
      <c r="CP579" t="s">
        <v>212</v>
      </c>
      <c r="CQ579" t="s">
        <v>212</v>
      </c>
      <c r="CR579" t="s">
        <v>212</v>
      </c>
      <c r="CS579" t="s">
        <v>212</v>
      </c>
      <c r="CY579" t="s">
        <v>212</v>
      </c>
      <c r="DB579" t="s">
        <v>234</v>
      </c>
      <c r="DE579" t="s">
        <v>212</v>
      </c>
      <c r="DF579" t="s">
        <v>212</v>
      </c>
      <c r="DG579" t="s">
        <v>235</v>
      </c>
      <c r="DH579" t="s">
        <v>212</v>
      </c>
      <c r="DJ579" t="s">
        <v>236</v>
      </c>
      <c r="DM579" t="s">
        <v>212</v>
      </c>
    </row>
    <row r="580" spans="1:117" x14ac:dyDescent="0.3">
      <c r="A580">
        <v>343687</v>
      </c>
      <c r="B580">
        <v>184205</v>
      </c>
      <c r="C580" t="str">
        <f>"080103652581"</f>
        <v>080103652581</v>
      </c>
      <c r="D580" t="s">
        <v>1639</v>
      </c>
      <c r="E580" t="s">
        <v>347</v>
      </c>
      <c r="F580" t="s">
        <v>805</v>
      </c>
      <c r="G580" s="1">
        <v>39450</v>
      </c>
      <c r="I580" t="s">
        <v>199</v>
      </c>
      <c r="J580" t="s">
        <v>200</v>
      </c>
      <c r="K580" t="s">
        <v>260</v>
      </c>
      <c r="Q580" t="s">
        <v>212</v>
      </c>
      <c r="R580" t="str">
        <f>"АНДОРРА, АКМОЛИНСКАЯ, СТЕПНОГОРСК, 87, 42"</f>
        <v>АНДОРРА, АКМОЛИНСКАЯ, СТЕПНОГОРСК, 87, 42</v>
      </c>
      <c r="S580" t="str">
        <f>"АНДОРРА, АҚМОЛА, СТЕПНОГОР, 87, 42"</f>
        <v>АНДОРРА, АҚМОЛА, СТЕПНОГОР, 87, 42</v>
      </c>
      <c r="T580" t="str">
        <f>"87, 42"</f>
        <v>87, 42</v>
      </c>
      <c r="U580" t="str">
        <f>"87, 42"</f>
        <v>87, 42</v>
      </c>
      <c r="AC580" t="str">
        <f>"2015-11-24T00:00:00"</f>
        <v>2015-11-24T00:00:00</v>
      </c>
      <c r="AD580" t="str">
        <f>"41"</f>
        <v>41</v>
      </c>
      <c r="AG580" t="s">
        <v>202</v>
      </c>
      <c r="AH580" t="str">
        <f t="shared" si="19"/>
        <v>ckool007@mail.ru</v>
      </c>
      <c r="AI580" t="s">
        <v>203</v>
      </c>
      <c r="AJ580" t="s">
        <v>204</v>
      </c>
      <c r="AK580" t="s">
        <v>205</v>
      </c>
      <c r="AL580" t="s">
        <v>206</v>
      </c>
      <c r="AN580" t="s">
        <v>207</v>
      </c>
      <c r="AO580">
        <v>1</v>
      </c>
      <c r="AP580" t="s">
        <v>208</v>
      </c>
      <c r="AQ580" t="s">
        <v>209</v>
      </c>
      <c r="AR580" t="s">
        <v>210</v>
      </c>
      <c r="AW580" t="s">
        <v>206</v>
      </c>
      <c r="AX580" t="s">
        <v>211</v>
      </c>
      <c r="AZ580" t="s">
        <v>209</v>
      </c>
      <c r="BI580" t="s">
        <v>212</v>
      </c>
      <c r="BJ580" t="s">
        <v>213</v>
      </c>
      <c r="BK580" t="s">
        <v>214</v>
      </c>
      <c r="BL580" t="s">
        <v>215</v>
      </c>
      <c r="BN580" t="s">
        <v>216</v>
      </c>
      <c r="BO580" t="s">
        <v>209</v>
      </c>
      <c r="BP580" t="s">
        <v>241</v>
      </c>
      <c r="BQ580">
        <v>5</v>
      </c>
      <c r="BS580" t="s">
        <v>219</v>
      </c>
      <c r="BT580" t="s">
        <v>220</v>
      </c>
      <c r="BU580" t="s">
        <v>206</v>
      </c>
      <c r="BX580" t="s">
        <v>221</v>
      </c>
      <c r="BY580" t="s">
        <v>221</v>
      </c>
      <c r="CA580" t="s">
        <v>222</v>
      </c>
      <c r="CB580" t="s">
        <v>223</v>
      </c>
      <c r="CC580" t="s">
        <v>209</v>
      </c>
      <c r="CE580" t="s">
        <v>242</v>
      </c>
      <c r="CJ580" t="s">
        <v>206</v>
      </c>
      <c r="CK580" t="s">
        <v>230</v>
      </c>
      <c r="CL580" t="s">
        <v>231</v>
      </c>
      <c r="CM580" t="s">
        <v>232</v>
      </c>
      <c r="CN580" t="s">
        <v>233</v>
      </c>
      <c r="CP580" t="s">
        <v>212</v>
      </c>
      <c r="CQ580" t="s">
        <v>212</v>
      </c>
      <c r="CR580" t="s">
        <v>212</v>
      </c>
      <c r="CS580" t="s">
        <v>212</v>
      </c>
      <c r="CY580" t="s">
        <v>212</v>
      </c>
      <c r="DB580" t="s">
        <v>234</v>
      </c>
      <c r="DE580" t="s">
        <v>212</v>
      </c>
      <c r="DF580" t="s">
        <v>212</v>
      </c>
      <c r="DG580" t="s">
        <v>235</v>
      </c>
      <c r="DH580" t="s">
        <v>212</v>
      </c>
      <c r="DJ580" t="s">
        <v>236</v>
      </c>
      <c r="DM580" t="s">
        <v>212</v>
      </c>
    </row>
    <row r="581" spans="1:117" x14ac:dyDescent="0.3">
      <c r="A581">
        <v>343611</v>
      </c>
      <c r="B581">
        <v>310612</v>
      </c>
      <c r="C581" t="str">
        <f>"080619654513"</f>
        <v>080619654513</v>
      </c>
      <c r="D581" t="s">
        <v>851</v>
      </c>
      <c r="E581" t="s">
        <v>1640</v>
      </c>
      <c r="F581" t="s">
        <v>852</v>
      </c>
      <c r="G581" s="1">
        <v>39618</v>
      </c>
      <c r="I581" t="s">
        <v>199</v>
      </c>
      <c r="J581" t="s">
        <v>200</v>
      </c>
      <c r="K581" t="s">
        <v>260</v>
      </c>
      <c r="R581" t="str">
        <f>"КАЗАХСТАН, АКМОЛИНСКАЯ, СТЕПНОГОРСК, 23, 5"</f>
        <v>КАЗАХСТАН, АКМОЛИНСКАЯ, СТЕПНОГОРСК, 23, 5</v>
      </c>
      <c r="S581" t="str">
        <f>"ҚАЗАҚСТАН, АҚМОЛА, СТЕПНОГОР, 23, 5"</f>
        <v>ҚАЗАҚСТАН, АҚМОЛА, СТЕПНОГОР, 23, 5</v>
      </c>
      <c r="T581" t="str">
        <f>"23, 5"</f>
        <v>23, 5</v>
      </c>
      <c r="U581" t="str">
        <f>"23, 5"</f>
        <v>23, 5</v>
      </c>
      <c r="AC581" t="str">
        <f>"2015-09-01T00:00:00"</f>
        <v>2015-09-01T00:00:00</v>
      </c>
      <c r="AD581" t="str">
        <f>"1"</f>
        <v>1</v>
      </c>
      <c r="AE581" t="str">
        <f>"2023-09-01T09:26:08"</f>
        <v>2023-09-01T09:26:08</v>
      </c>
      <c r="AF581" t="str">
        <f>"2024-05-25T09:26:08"</f>
        <v>2024-05-25T09:26:08</v>
      </c>
      <c r="AG581" t="s">
        <v>202</v>
      </c>
      <c r="AH581" t="str">
        <f t="shared" si="19"/>
        <v>ckool007@mail.ru</v>
      </c>
      <c r="AI581" t="s">
        <v>203</v>
      </c>
      <c r="AJ581" t="s">
        <v>204</v>
      </c>
      <c r="AK581" t="s">
        <v>246</v>
      </c>
      <c r="AL581" t="s">
        <v>206</v>
      </c>
      <c r="AN581" t="s">
        <v>207</v>
      </c>
      <c r="AO581">
        <v>1</v>
      </c>
      <c r="AP581" t="s">
        <v>208</v>
      </c>
      <c r="AQ581" t="s">
        <v>209</v>
      </c>
      <c r="AR581" t="s">
        <v>210</v>
      </c>
      <c r="AW581" t="s">
        <v>206</v>
      </c>
      <c r="AX581" t="s">
        <v>211</v>
      </c>
      <c r="AZ581" t="s">
        <v>209</v>
      </c>
      <c r="BI581" t="s">
        <v>212</v>
      </c>
      <c r="BJ581" t="s">
        <v>213</v>
      </c>
      <c r="BK581" t="s">
        <v>214</v>
      </c>
      <c r="BL581" t="s">
        <v>215</v>
      </c>
      <c r="BN581" t="s">
        <v>216</v>
      </c>
      <c r="BO581" t="s">
        <v>209</v>
      </c>
      <c r="BP581" t="s">
        <v>217</v>
      </c>
      <c r="BQ581" t="s">
        <v>378</v>
      </c>
      <c r="BS581" t="s">
        <v>219</v>
      </c>
      <c r="BT581" t="s">
        <v>220</v>
      </c>
      <c r="BU581" t="s">
        <v>206</v>
      </c>
      <c r="BX581" t="s">
        <v>221</v>
      </c>
      <c r="BY581" t="s">
        <v>221</v>
      </c>
      <c r="CA581" t="s">
        <v>263</v>
      </c>
      <c r="CB581" t="s">
        <v>223</v>
      </c>
      <c r="CC581" t="s">
        <v>209</v>
      </c>
      <c r="CE581" t="s">
        <v>242</v>
      </c>
      <c r="CJ581" t="s">
        <v>206</v>
      </c>
      <c r="CK581" t="s">
        <v>230</v>
      </c>
      <c r="CL581" t="s">
        <v>231</v>
      </c>
      <c r="CM581" t="s">
        <v>232</v>
      </c>
      <c r="CN581" t="s">
        <v>233</v>
      </c>
      <c r="CP581" t="s">
        <v>212</v>
      </c>
      <c r="CQ581" t="s">
        <v>212</v>
      </c>
      <c r="CR581" t="s">
        <v>212</v>
      </c>
      <c r="CS581" t="s">
        <v>212</v>
      </c>
      <c r="CY581" t="s">
        <v>212</v>
      </c>
      <c r="DB581" t="s">
        <v>234</v>
      </c>
      <c r="DE581" t="s">
        <v>212</v>
      </c>
      <c r="DF581" t="s">
        <v>212</v>
      </c>
      <c r="DG581" t="s">
        <v>235</v>
      </c>
      <c r="DH581" t="s">
        <v>212</v>
      </c>
      <c r="DJ581" t="s">
        <v>236</v>
      </c>
      <c r="DM581" t="s">
        <v>212</v>
      </c>
    </row>
    <row r="582" spans="1:117" x14ac:dyDescent="0.3">
      <c r="A582">
        <v>343588</v>
      </c>
      <c r="B582">
        <v>270141</v>
      </c>
      <c r="C582" t="str">
        <f>"090930650434"</f>
        <v>090930650434</v>
      </c>
      <c r="D582" t="s">
        <v>905</v>
      </c>
      <c r="E582" t="s">
        <v>1641</v>
      </c>
      <c r="F582" t="s">
        <v>1642</v>
      </c>
      <c r="G582" s="1">
        <v>40086</v>
      </c>
      <c r="I582" t="s">
        <v>199</v>
      </c>
      <c r="J582" t="s">
        <v>200</v>
      </c>
      <c r="K582" t="s">
        <v>201</v>
      </c>
      <c r="R582" t="str">
        <f>"АНДОРРА, АКМОЛИНСКАЯ, СТЕПНОГОРСК, 86, 49"</f>
        <v>АНДОРРА, АКМОЛИНСКАЯ, СТЕПНОГОРСК, 86, 49</v>
      </c>
      <c r="S582" t="str">
        <f>"АНДОРРА, АҚМОЛА, СТЕПНОГОР, 86, 49"</f>
        <v>АНДОРРА, АҚМОЛА, СТЕПНОГОР, 86, 49</v>
      </c>
      <c r="T582" t="str">
        <f>"86, 49"</f>
        <v>86, 49</v>
      </c>
      <c r="U582" t="str">
        <f>"86, 49"</f>
        <v>86, 49</v>
      </c>
      <c r="AC582" t="str">
        <f>"2017-08-29T00:00:00"</f>
        <v>2017-08-29T00:00:00</v>
      </c>
      <c r="AD582" t="str">
        <f>"112"</f>
        <v>112</v>
      </c>
      <c r="AG582" t="s">
        <v>202</v>
      </c>
      <c r="AH582" t="str">
        <f t="shared" si="19"/>
        <v>ckool007@mail.ru</v>
      </c>
      <c r="AI582" t="s">
        <v>299</v>
      </c>
      <c r="AJ582" t="s">
        <v>286</v>
      </c>
      <c r="AK582" t="s">
        <v>205</v>
      </c>
      <c r="AL582" t="s">
        <v>206</v>
      </c>
      <c r="AN582" t="s">
        <v>207</v>
      </c>
      <c r="AO582">
        <v>1</v>
      </c>
      <c r="AP582" t="s">
        <v>208</v>
      </c>
      <c r="AQ582" t="s">
        <v>209</v>
      </c>
      <c r="AR582" t="s">
        <v>210</v>
      </c>
      <c r="AW582" t="s">
        <v>206</v>
      </c>
      <c r="AX582" t="s">
        <v>211</v>
      </c>
      <c r="AZ582" t="s">
        <v>209</v>
      </c>
      <c r="BI582" t="s">
        <v>212</v>
      </c>
      <c r="BJ582" t="s">
        <v>213</v>
      </c>
      <c r="BK582" t="s">
        <v>214</v>
      </c>
      <c r="BL582" t="s">
        <v>215</v>
      </c>
      <c r="BN582" t="s">
        <v>281</v>
      </c>
      <c r="BO582" t="s">
        <v>209</v>
      </c>
      <c r="BP582" t="s">
        <v>241</v>
      </c>
      <c r="BQ582">
        <v>5</v>
      </c>
      <c r="BS582" t="s">
        <v>219</v>
      </c>
      <c r="BT582" t="s">
        <v>220</v>
      </c>
      <c r="BU582" t="s">
        <v>206</v>
      </c>
      <c r="BX582" t="s">
        <v>221</v>
      </c>
      <c r="BY582" t="s">
        <v>221</v>
      </c>
      <c r="CA582" t="s">
        <v>263</v>
      </c>
      <c r="CB582" t="s">
        <v>223</v>
      </c>
      <c r="CC582" t="s">
        <v>209</v>
      </c>
      <c r="CE582" t="s">
        <v>242</v>
      </c>
      <c r="CJ582" t="s">
        <v>206</v>
      </c>
      <c r="CK582" t="s">
        <v>230</v>
      </c>
      <c r="CL582" t="s">
        <v>231</v>
      </c>
      <c r="CM582" t="s">
        <v>232</v>
      </c>
      <c r="CN582" t="s">
        <v>233</v>
      </c>
      <c r="CP582" t="s">
        <v>212</v>
      </c>
      <c r="CQ582" t="s">
        <v>212</v>
      </c>
      <c r="CR582" t="s">
        <v>212</v>
      </c>
      <c r="CS582" t="s">
        <v>212</v>
      </c>
      <c r="CY582" t="s">
        <v>212</v>
      </c>
      <c r="DB582" t="s">
        <v>234</v>
      </c>
      <c r="DE582" t="s">
        <v>212</v>
      </c>
      <c r="DF582" t="s">
        <v>212</v>
      </c>
      <c r="DG582" t="s">
        <v>235</v>
      </c>
      <c r="DH582" t="s">
        <v>212</v>
      </c>
      <c r="DJ582" t="s">
        <v>236</v>
      </c>
      <c r="DM582" t="s">
        <v>206</v>
      </c>
    </row>
    <row r="583" spans="1:117" x14ac:dyDescent="0.3">
      <c r="A583">
        <v>343563</v>
      </c>
      <c r="B583">
        <v>310567</v>
      </c>
      <c r="C583" t="str">
        <f>"080623654614"</f>
        <v>080623654614</v>
      </c>
      <c r="D583" t="s">
        <v>784</v>
      </c>
      <c r="E583" t="s">
        <v>312</v>
      </c>
      <c r="F583" t="s">
        <v>667</v>
      </c>
      <c r="G583" s="1">
        <v>39622</v>
      </c>
      <c r="I583" t="s">
        <v>199</v>
      </c>
      <c r="J583" t="s">
        <v>200</v>
      </c>
      <c r="K583" t="s">
        <v>201</v>
      </c>
      <c r="R583" t="str">
        <f>"АНДОРРА, АКМОЛИНСКАЯ, СТЕПНОГОРСК, 50, 33"</f>
        <v>АНДОРРА, АКМОЛИНСКАЯ, СТЕПНОГОРСК, 50, 33</v>
      </c>
      <c r="S583" t="str">
        <f>"АНДОРРА, АҚМОЛА, СТЕПНОГОР, 50, 33"</f>
        <v>АНДОРРА, АҚМОЛА, СТЕПНОГОР, 50, 33</v>
      </c>
      <c r="T583" t="str">
        <f>"50, 33"</f>
        <v>50, 33</v>
      </c>
      <c r="U583" t="str">
        <f>"50, 33"</f>
        <v>50, 33</v>
      </c>
      <c r="AC583" t="str">
        <f>"2015-09-01T00:00:00"</f>
        <v>2015-09-01T00:00:00</v>
      </c>
      <c r="AD583" t="str">
        <f t="shared" ref="AD583:AD588" si="20">"1"</f>
        <v>1</v>
      </c>
      <c r="AG583" t="s">
        <v>202</v>
      </c>
      <c r="AH583" t="str">
        <f t="shared" si="19"/>
        <v>ckool007@mail.ru</v>
      </c>
      <c r="AI583" t="s">
        <v>203</v>
      </c>
      <c r="AJ583" t="s">
        <v>204</v>
      </c>
      <c r="AK583" t="s">
        <v>261</v>
      </c>
      <c r="AL583" t="s">
        <v>206</v>
      </c>
      <c r="AN583" t="s">
        <v>207</v>
      </c>
      <c r="AO583">
        <v>1</v>
      </c>
      <c r="AP583" t="s">
        <v>208</v>
      </c>
      <c r="AQ583" t="s">
        <v>209</v>
      </c>
      <c r="AR583" t="s">
        <v>210</v>
      </c>
      <c r="AV583" t="str">
        <f>"2021-01-24T23:21:49"</f>
        <v>2021-01-24T23:21:49</v>
      </c>
      <c r="AW583" t="s">
        <v>206</v>
      </c>
      <c r="AX583" t="s">
        <v>211</v>
      </c>
      <c r="AZ583" t="s">
        <v>209</v>
      </c>
      <c r="BI583" t="s">
        <v>212</v>
      </c>
      <c r="BJ583" t="s">
        <v>213</v>
      </c>
      <c r="BK583" t="s">
        <v>214</v>
      </c>
      <c r="BL583" t="s">
        <v>215</v>
      </c>
      <c r="BN583" t="s">
        <v>281</v>
      </c>
      <c r="BO583" t="s">
        <v>209</v>
      </c>
      <c r="BP583" t="s">
        <v>241</v>
      </c>
      <c r="BQ583">
        <v>5</v>
      </c>
      <c r="BS583" t="s">
        <v>219</v>
      </c>
      <c r="BT583" t="s">
        <v>220</v>
      </c>
      <c r="BU583" t="s">
        <v>206</v>
      </c>
      <c r="BX583" t="s">
        <v>221</v>
      </c>
      <c r="BY583" t="s">
        <v>221</v>
      </c>
      <c r="CA583" t="s">
        <v>263</v>
      </c>
      <c r="CB583" t="s">
        <v>223</v>
      </c>
      <c r="CC583" t="s">
        <v>209</v>
      </c>
      <c r="CE583" t="s">
        <v>1643</v>
      </c>
      <c r="CF583" t="s">
        <v>1644</v>
      </c>
      <c r="CG583" t="s">
        <v>1645</v>
      </c>
      <c r="CH583" t="s">
        <v>1646</v>
      </c>
      <c r="CI583" t="s">
        <v>1647</v>
      </c>
      <c r="CJ583" t="s">
        <v>206</v>
      </c>
      <c r="CK583" t="s">
        <v>230</v>
      </c>
      <c r="CL583" t="s">
        <v>231</v>
      </c>
      <c r="CM583" t="s">
        <v>232</v>
      </c>
      <c r="CN583" t="s">
        <v>233</v>
      </c>
      <c r="CP583" t="s">
        <v>212</v>
      </c>
      <c r="CQ583" t="s">
        <v>212</v>
      </c>
      <c r="CR583" t="s">
        <v>212</v>
      </c>
      <c r="CS583" t="s">
        <v>212</v>
      </c>
      <c r="CY583" t="s">
        <v>212</v>
      </c>
      <c r="DB583" t="s">
        <v>234</v>
      </c>
      <c r="DE583" t="s">
        <v>212</v>
      </c>
      <c r="DF583" t="s">
        <v>212</v>
      </c>
      <c r="DG583" t="s">
        <v>235</v>
      </c>
      <c r="DH583" t="s">
        <v>212</v>
      </c>
      <c r="DJ583" t="s">
        <v>236</v>
      </c>
      <c r="DM583" t="s">
        <v>212</v>
      </c>
    </row>
    <row r="584" spans="1:117" x14ac:dyDescent="0.3">
      <c r="A584">
        <v>343453</v>
      </c>
      <c r="B584">
        <v>310467</v>
      </c>
      <c r="C584" t="str">
        <f>"090807552029"</f>
        <v>090807552029</v>
      </c>
      <c r="D584" t="s">
        <v>1648</v>
      </c>
      <c r="E584" t="s">
        <v>1649</v>
      </c>
      <c r="F584" t="s">
        <v>1027</v>
      </c>
      <c r="G584" s="1">
        <v>40032</v>
      </c>
      <c r="I584" t="s">
        <v>240</v>
      </c>
      <c r="J584" t="s">
        <v>200</v>
      </c>
      <c r="K584" t="s">
        <v>201</v>
      </c>
      <c r="R584" t="str">
        <f>"КАЗАХСТАН, АКМОЛИНСКАЯ, СТЕПНОГОРСК, 87, 75"</f>
        <v>КАЗАХСТАН, АКМОЛИНСКАЯ, СТЕПНОГОРСК, 87, 75</v>
      </c>
      <c r="S584" t="str">
        <f>"ҚАЗАҚСТАН, АҚМОЛА, СТЕПНОГОР, 87, 75"</f>
        <v>ҚАЗАҚСТАН, АҚМОЛА, СТЕПНОГОР, 87, 75</v>
      </c>
      <c r="T584" t="str">
        <f>"87, 75"</f>
        <v>87, 75</v>
      </c>
      <c r="U584" t="str">
        <f>"87, 75"</f>
        <v>87, 75</v>
      </c>
      <c r="AC584" t="str">
        <f>"2016-09-01T00:00:00"</f>
        <v>2016-09-01T00:00:00</v>
      </c>
      <c r="AD584" t="str">
        <f t="shared" si="20"/>
        <v>1</v>
      </c>
      <c r="AG584" t="s">
        <v>202</v>
      </c>
      <c r="AH584" t="str">
        <f t="shared" si="19"/>
        <v>ckool007@mail.ru</v>
      </c>
      <c r="AI584" t="s">
        <v>203</v>
      </c>
      <c r="AJ584" t="s">
        <v>286</v>
      </c>
      <c r="AK584" t="s">
        <v>253</v>
      </c>
      <c r="AL584" t="s">
        <v>206</v>
      </c>
      <c r="AN584" t="s">
        <v>254</v>
      </c>
      <c r="AO584">
        <v>1</v>
      </c>
      <c r="AP584" t="s">
        <v>208</v>
      </c>
      <c r="AQ584" t="s">
        <v>209</v>
      </c>
      <c r="AR584" t="s">
        <v>210</v>
      </c>
      <c r="AW584" t="s">
        <v>206</v>
      </c>
      <c r="AX584" t="s">
        <v>211</v>
      </c>
      <c r="AZ584" t="s">
        <v>209</v>
      </c>
      <c r="BI584" t="s">
        <v>212</v>
      </c>
      <c r="BJ584" t="s">
        <v>213</v>
      </c>
      <c r="BK584" t="s">
        <v>214</v>
      </c>
      <c r="BL584" t="s">
        <v>215</v>
      </c>
      <c r="BN584" t="s">
        <v>216</v>
      </c>
      <c r="BO584" t="s">
        <v>209</v>
      </c>
      <c r="BP584" t="s">
        <v>217</v>
      </c>
      <c r="BQ584" t="s">
        <v>1650</v>
      </c>
      <c r="BS584" t="s">
        <v>219</v>
      </c>
      <c r="BT584" t="s">
        <v>220</v>
      </c>
      <c r="BU584" t="s">
        <v>206</v>
      </c>
      <c r="BX584" t="s">
        <v>221</v>
      </c>
      <c r="BY584" t="s">
        <v>221</v>
      </c>
      <c r="CA584" t="s">
        <v>263</v>
      </c>
      <c r="CB584" t="s">
        <v>223</v>
      </c>
      <c r="CC584" t="s">
        <v>404</v>
      </c>
      <c r="CD584" t="s">
        <v>223</v>
      </c>
      <c r="CE584" t="s">
        <v>242</v>
      </c>
      <c r="CJ584" t="s">
        <v>206</v>
      </c>
      <c r="CK584" t="s">
        <v>230</v>
      </c>
      <c r="CL584" t="s">
        <v>231</v>
      </c>
      <c r="CM584" t="s">
        <v>232</v>
      </c>
      <c r="CN584" t="s">
        <v>233</v>
      </c>
      <c r="CP584" t="s">
        <v>212</v>
      </c>
      <c r="CQ584" t="s">
        <v>212</v>
      </c>
      <c r="CR584" t="s">
        <v>212</v>
      </c>
      <c r="CS584" t="s">
        <v>212</v>
      </c>
      <c r="CY584" t="s">
        <v>212</v>
      </c>
      <c r="DB584" t="s">
        <v>234</v>
      </c>
      <c r="DE584" t="s">
        <v>212</v>
      </c>
      <c r="DF584" t="s">
        <v>212</v>
      </c>
      <c r="DG584" t="s">
        <v>235</v>
      </c>
      <c r="DH584" t="s">
        <v>212</v>
      </c>
      <c r="DJ584" t="s">
        <v>236</v>
      </c>
      <c r="DM584" t="s">
        <v>212</v>
      </c>
    </row>
    <row r="585" spans="1:117" x14ac:dyDescent="0.3">
      <c r="A585">
        <v>343428</v>
      </c>
      <c r="B585">
        <v>310443</v>
      </c>
      <c r="C585" t="str">
        <f>"090111550415"</f>
        <v>090111550415</v>
      </c>
      <c r="D585" t="s">
        <v>1651</v>
      </c>
      <c r="E585" t="s">
        <v>1652</v>
      </c>
      <c r="F585" t="s">
        <v>1653</v>
      </c>
      <c r="G585" s="1">
        <v>39824</v>
      </c>
      <c r="I585" t="s">
        <v>240</v>
      </c>
      <c r="J585" t="s">
        <v>200</v>
      </c>
      <c r="K585" t="s">
        <v>201</v>
      </c>
      <c r="R585" t="str">
        <f>"АНДОРРА, АКМОЛИНСКАЯ, СТЕПНОГОРСК, 21, 55"</f>
        <v>АНДОРРА, АКМОЛИНСКАЯ, СТЕПНОГОРСК, 21, 55</v>
      </c>
      <c r="S585" t="str">
        <f>"АНДОРРА, АҚМОЛА, СТЕПНОГОР, 21, 55"</f>
        <v>АНДОРРА, АҚМОЛА, СТЕПНОГОР, 21, 55</v>
      </c>
      <c r="T585" t="str">
        <f>"21, 55"</f>
        <v>21, 55</v>
      </c>
      <c r="U585" t="str">
        <f>"21, 55"</f>
        <v>21, 55</v>
      </c>
      <c r="AC585" t="str">
        <f>"2015-09-01T00:00:00"</f>
        <v>2015-09-01T00:00:00</v>
      </c>
      <c r="AD585" t="str">
        <f t="shared" si="20"/>
        <v>1</v>
      </c>
      <c r="AG585" t="s">
        <v>202</v>
      </c>
      <c r="AH585" t="str">
        <f t="shared" si="19"/>
        <v>ckool007@mail.ru</v>
      </c>
      <c r="AI585" t="s">
        <v>203</v>
      </c>
      <c r="AJ585" t="s">
        <v>204</v>
      </c>
      <c r="AK585" t="s">
        <v>253</v>
      </c>
      <c r="AL585" t="s">
        <v>206</v>
      </c>
      <c r="AN585" t="s">
        <v>254</v>
      </c>
      <c r="AO585">
        <v>1</v>
      </c>
      <c r="AP585" t="s">
        <v>208</v>
      </c>
      <c r="AQ585" t="s">
        <v>209</v>
      </c>
      <c r="AR585" t="s">
        <v>210</v>
      </c>
      <c r="AW585" t="s">
        <v>206</v>
      </c>
      <c r="AX585" t="s">
        <v>211</v>
      </c>
      <c r="AZ585" t="s">
        <v>209</v>
      </c>
      <c r="BI585" t="s">
        <v>212</v>
      </c>
      <c r="BJ585" t="s">
        <v>213</v>
      </c>
      <c r="BK585" t="s">
        <v>214</v>
      </c>
      <c r="BL585" t="s">
        <v>215</v>
      </c>
      <c r="BN585" t="s">
        <v>247</v>
      </c>
      <c r="BO585" t="s">
        <v>209</v>
      </c>
      <c r="BP585" t="s">
        <v>241</v>
      </c>
      <c r="BQ585">
        <v>3</v>
      </c>
      <c r="BS585" t="s">
        <v>219</v>
      </c>
      <c r="BT585" t="s">
        <v>220</v>
      </c>
      <c r="BU585" t="s">
        <v>206</v>
      </c>
      <c r="BX585" t="s">
        <v>221</v>
      </c>
      <c r="BY585" t="s">
        <v>221</v>
      </c>
      <c r="CA585" t="s">
        <v>256</v>
      </c>
      <c r="CB585" t="s">
        <v>223</v>
      </c>
      <c r="CC585" t="s">
        <v>317</v>
      </c>
      <c r="CD585" t="s">
        <v>223</v>
      </c>
      <c r="CE585" t="s">
        <v>242</v>
      </c>
      <c r="CJ585" t="s">
        <v>206</v>
      </c>
      <c r="CK585" t="s">
        <v>230</v>
      </c>
      <c r="CL585" t="s">
        <v>231</v>
      </c>
      <c r="CM585" t="s">
        <v>232</v>
      </c>
      <c r="CN585" t="s">
        <v>233</v>
      </c>
      <c r="CP585" t="s">
        <v>212</v>
      </c>
      <c r="CQ585" t="s">
        <v>212</v>
      </c>
      <c r="CR585" t="s">
        <v>212</v>
      </c>
      <c r="CS585" t="s">
        <v>212</v>
      </c>
      <c r="CY585" t="s">
        <v>212</v>
      </c>
      <c r="DB585" t="s">
        <v>234</v>
      </c>
      <c r="DE585" t="s">
        <v>212</v>
      </c>
      <c r="DF585" t="s">
        <v>212</v>
      </c>
      <c r="DG585" t="s">
        <v>235</v>
      </c>
      <c r="DH585" t="s">
        <v>212</v>
      </c>
      <c r="DJ585" t="s">
        <v>236</v>
      </c>
      <c r="DM585" t="s">
        <v>206</v>
      </c>
    </row>
    <row r="586" spans="1:117" x14ac:dyDescent="0.3">
      <c r="A586">
        <v>343398</v>
      </c>
      <c r="B586">
        <v>310417</v>
      </c>
      <c r="C586" t="str">
        <f>"090116552429"</f>
        <v>090116552429</v>
      </c>
      <c r="D586" t="s">
        <v>1654</v>
      </c>
      <c r="E586" t="s">
        <v>1655</v>
      </c>
      <c r="F586" t="s">
        <v>1656</v>
      </c>
      <c r="G586" s="1">
        <v>39829</v>
      </c>
      <c r="I586" t="s">
        <v>240</v>
      </c>
      <c r="J586" t="s">
        <v>200</v>
      </c>
      <c r="K586" t="s">
        <v>201</v>
      </c>
      <c r="R586" t="str">
        <f>"АНДОРРА, АКМОЛИНСКАЯ, СТЕПНОГОРСК, 15, 87"</f>
        <v>АНДОРРА, АКМОЛИНСКАЯ, СТЕПНОГОРСК, 15, 87</v>
      </c>
      <c r="S586" t="str">
        <f>"АНДОРРА, АҚМОЛА, СТЕПНОГОР, 15, 87"</f>
        <v>АНДОРРА, АҚМОЛА, СТЕПНОГОР, 15, 87</v>
      </c>
      <c r="T586" t="str">
        <f>"15, 87"</f>
        <v>15, 87</v>
      </c>
      <c r="U586" t="str">
        <f>"15, 87"</f>
        <v>15, 87</v>
      </c>
      <c r="AC586" t="str">
        <f>"2016-09-01T00:00:00"</f>
        <v>2016-09-01T00:00:00</v>
      </c>
      <c r="AD586" t="str">
        <f t="shared" si="20"/>
        <v>1</v>
      </c>
      <c r="AG586" t="s">
        <v>202</v>
      </c>
      <c r="AH586" t="str">
        <f t="shared" si="19"/>
        <v>ckool007@mail.ru</v>
      </c>
      <c r="AI586" t="s">
        <v>203</v>
      </c>
      <c r="AJ586" t="s">
        <v>286</v>
      </c>
      <c r="AK586" t="s">
        <v>253</v>
      </c>
      <c r="AL586" t="s">
        <v>206</v>
      </c>
      <c r="AN586" t="s">
        <v>254</v>
      </c>
      <c r="AO586">
        <v>1</v>
      </c>
      <c r="AP586" t="s">
        <v>208</v>
      </c>
      <c r="AQ586" t="s">
        <v>209</v>
      </c>
      <c r="AR586" t="s">
        <v>210</v>
      </c>
      <c r="AW586" t="s">
        <v>206</v>
      </c>
      <c r="AX586" t="s">
        <v>211</v>
      </c>
      <c r="AZ586" t="s">
        <v>209</v>
      </c>
      <c r="BI586" t="s">
        <v>212</v>
      </c>
      <c r="BJ586" t="s">
        <v>213</v>
      </c>
      <c r="BK586" t="s">
        <v>214</v>
      </c>
      <c r="BL586" t="s">
        <v>215</v>
      </c>
      <c r="BN586" t="s">
        <v>247</v>
      </c>
      <c r="BO586" t="s">
        <v>209</v>
      </c>
      <c r="BP586" t="s">
        <v>241</v>
      </c>
      <c r="BQ586">
        <v>3</v>
      </c>
      <c r="BS586" t="s">
        <v>219</v>
      </c>
      <c r="BT586" t="s">
        <v>220</v>
      </c>
      <c r="BU586" t="s">
        <v>206</v>
      </c>
      <c r="BX586" t="s">
        <v>221</v>
      </c>
      <c r="BY586" t="s">
        <v>221</v>
      </c>
      <c r="CA586" t="s">
        <v>256</v>
      </c>
      <c r="CB586" t="s">
        <v>223</v>
      </c>
      <c r="CC586" t="s">
        <v>404</v>
      </c>
      <c r="CD586" t="s">
        <v>223</v>
      </c>
      <c r="CE586" t="s">
        <v>242</v>
      </c>
      <c r="CJ586" t="s">
        <v>206</v>
      </c>
      <c r="CK586" t="s">
        <v>230</v>
      </c>
      <c r="CL586" t="s">
        <v>231</v>
      </c>
      <c r="CM586" t="s">
        <v>232</v>
      </c>
      <c r="CN586" t="s">
        <v>233</v>
      </c>
      <c r="CP586" t="s">
        <v>212</v>
      </c>
      <c r="CQ586" t="s">
        <v>212</v>
      </c>
      <c r="CR586" t="s">
        <v>212</v>
      </c>
      <c r="CS586" t="s">
        <v>212</v>
      </c>
      <c r="CY586" t="s">
        <v>212</v>
      </c>
      <c r="DB586" t="s">
        <v>234</v>
      </c>
      <c r="DE586" t="s">
        <v>212</v>
      </c>
      <c r="DF586" t="s">
        <v>212</v>
      </c>
      <c r="DG586" t="s">
        <v>235</v>
      </c>
      <c r="DH586" t="s">
        <v>212</v>
      </c>
      <c r="DJ586" t="s">
        <v>236</v>
      </c>
      <c r="DM586" t="s">
        <v>212</v>
      </c>
    </row>
    <row r="587" spans="1:117" x14ac:dyDescent="0.3">
      <c r="A587">
        <v>343359</v>
      </c>
      <c r="B587">
        <v>310377</v>
      </c>
      <c r="C587" t="str">
        <f>"080602551113"</f>
        <v>080602551113</v>
      </c>
      <c r="D587" t="s">
        <v>1493</v>
      </c>
      <c r="E587" t="s">
        <v>1258</v>
      </c>
      <c r="F587" t="s">
        <v>1495</v>
      </c>
      <c r="G587" s="1">
        <v>39601</v>
      </c>
      <c r="I587" t="s">
        <v>240</v>
      </c>
      <c r="J587" t="s">
        <v>200</v>
      </c>
      <c r="K587" t="s">
        <v>201</v>
      </c>
      <c r="R587" t="str">
        <f>"АНДОРРА, АКМОЛИНСКАЯ, СТЕПНОГОРСК, 71, 57"</f>
        <v>АНДОРРА, АКМОЛИНСКАЯ, СТЕПНОГОРСК, 71, 57</v>
      </c>
      <c r="S587" t="str">
        <f>"АНДОРРА, АҚМОЛА, СТЕПНОГОР, 71, 57"</f>
        <v>АНДОРРА, АҚМОЛА, СТЕПНОГОР, 71, 57</v>
      </c>
      <c r="T587" t="str">
        <f>"71, 57"</f>
        <v>71, 57</v>
      </c>
      <c r="U587" t="str">
        <f>"71, 57"</f>
        <v>71, 57</v>
      </c>
      <c r="AC587" t="str">
        <f>"2015-09-01T00:00:00"</f>
        <v>2015-09-01T00:00:00</v>
      </c>
      <c r="AD587" t="str">
        <f t="shared" si="20"/>
        <v>1</v>
      </c>
      <c r="AG587" t="s">
        <v>202</v>
      </c>
      <c r="AH587" t="str">
        <f t="shared" si="19"/>
        <v>ckool007@mail.ru</v>
      </c>
      <c r="AI587" t="s">
        <v>203</v>
      </c>
      <c r="AJ587" t="s">
        <v>204</v>
      </c>
      <c r="AK587" t="s">
        <v>253</v>
      </c>
      <c r="AL587" t="s">
        <v>206</v>
      </c>
      <c r="AN587" t="s">
        <v>254</v>
      </c>
      <c r="AO587">
        <v>1</v>
      </c>
      <c r="AP587" t="s">
        <v>208</v>
      </c>
      <c r="AQ587" t="s">
        <v>209</v>
      </c>
      <c r="AR587" t="s">
        <v>210</v>
      </c>
      <c r="AW587" t="s">
        <v>206</v>
      </c>
      <c r="AX587" t="s">
        <v>211</v>
      </c>
      <c r="AZ587" t="s">
        <v>209</v>
      </c>
      <c r="BI587" t="s">
        <v>212</v>
      </c>
      <c r="BJ587" t="s">
        <v>213</v>
      </c>
      <c r="BK587" t="s">
        <v>214</v>
      </c>
      <c r="BL587" t="s">
        <v>215</v>
      </c>
      <c r="BN587" t="s">
        <v>281</v>
      </c>
      <c r="BO587" t="s">
        <v>209</v>
      </c>
      <c r="BP587" t="s">
        <v>241</v>
      </c>
      <c r="BQ587">
        <v>5</v>
      </c>
      <c r="BS587" t="s">
        <v>219</v>
      </c>
      <c r="BT587" t="s">
        <v>220</v>
      </c>
      <c r="BU587" t="s">
        <v>206</v>
      </c>
      <c r="BX587" t="s">
        <v>221</v>
      </c>
      <c r="BY587" t="s">
        <v>221</v>
      </c>
      <c r="CA587" t="s">
        <v>287</v>
      </c>
      <c r="CC587" t="s">
        <v>334</v>
      </c>
      <c r="CD587" t="s">
        <v>223</v>
      </c>
      <c r="CE587" t="s">
        <v>225</v>
      </c>
      <c r="CF587" t="s">
        <v>226</v>
      </c>
      <c r="CG587" t="s">
        <v>227</v>
      </c>
      <c r="CH587" t="s">
        <v>228</v>
      </c>
      <c r="CI587" t="s">
        <v>1657</v>
      </c>
      <c r="CJ587" t="s">
        <v>206</v>
      </c>
      <c r="CK587" t="s">
        <v>230</v>
      </c>
      <c r="CL587" t="s">
        <v>231</v>
      </c>
      <c r="CM587" t="s">
        <v>232</v>
      </c>
      <c r="CN587" t="s">
        <v>233</v>
      </c>
      <c r="CP587" t="s">
        <v>212</v>
      </c>
      <c r="CQ587" t="s">
        <v>212</v>
      </c>
      <c r="CR587" t="s">
        <v>212</v>
      </c>
      <c r="CS587" t="s">
        <v>212</v>
      </c>
      <c r="CY587" t="s">
        <v>212</v>
      </c>
      <c r="DB587" t="s">
        <v>234</v>
      </c>
      <c r="DE587" t="s">
        <v>212</v>
      </c>
      <c r="DF587" t="s">
        <v>212</v>
      </c>
      <c r="DG587" t="s">
        <v>235</v>
      </c>
      <c r="DH587" t="s">
        <v>212</v>
      </c>
      <c r="DJ587" t="s">
        <v>236</v>
      </c>
      <c r="DM587" t="s">
        <v>212</v>
      </c>
    </row>
    <row r="588" spans="1:117" x14ac:dyDescent="0.3">
      <c r="A588">
        <v>343337</v>
      </c>
      <c r="B588">
        <v>310368</v>
      </c>
      <c r="C588" t="str">
        <f>"090917551287"</f>
        <v>090917551287</v>
      </c>
      <c r="D588" t="s">
        <v>1658</v>
      </c>
      <c r="E588" t="s">
        <v>552</v>
      </c>
      <c r="F588" t="s">
        <v>1659</v>
      </c>
      <c r="G588" s="1">
        <v>40073</v>
      </c>
      <c r="I588" t="s">
        <v>240</v>
      </c>
      <c r="J588" t="s">
        <v>200</v>
      </c>
      <c r="K588" t="s">
        <v>201</v>
      </c>
      <c r="R588" t="str">
        <f>"АНДОРРА, АКМОЛИНСКАЯ, СТЕПНОГОРСК, 14, 620"</f>
        <v>АНДОРРА, АКМОЛИНСКАЯ, СТЕПНОГОРСК, 14, 620</v>
      </c>
      <c r="S588" t="str">
        <f>"АНДОРРА, АҚМОЛА, СТЕПНОГОР, 14, 620"</f>
        <v>АНДОРРА, АҚМОЛА, СТЕПНОГОР, 14, 620</v>
      </c>
      <c r="T588" t="str">
        <f>"14, 620"</f>
        <v>14, 620</v>
      </c>
      <c r="U588" t="str">
        <f>"14, 620"</f>
        <v>14, 620</v>
      </c>
      <c r="AC588" t="str">
        <f>"2016-09-01T00:00:00"</f>
        <v>2016-09-01T00:00:00</v>
      </c>
      <c r="AD588" t="str">
        <f t="shared" si="20"/>
        <v>1</v>
      </c>
      <c r="AG588" t="s">
        <v>202</v>
      </c>
      <c r="AH588" t="str">
        <f t="shared" si="19"/>
        <v>ckool007@mail.ru</v>
      </c>
      <c r="AI588" t="s">
        <v>203</v>
      </c>
      <c r="AJ588" t="s">
        <v>286</v>
      </c>
      <c r="AK588" t="s">
        <v>253</v>
      </c>
      <c r="AL588" t="s">
        <v>206</v>
      </c>
      <c r="AN588" t="s">
        <v>254</v>
      </c>
      <c r="AO588">
        <v>1</v>
      </c>
      <c r="AP588" t="s">
        <v>208</v>
      </c>
      <c r="AQ588" t="s">
        <v>209</v>
      </c>
      <c r="AR588" t="s">
        <v>210</v>
      </c>
      <c r="AW588" t="s">
        <v>206</v>
      </c>
      <c r="AX588" t="s">
        <v>211</v>
      </c>
      <c r="AZ588" t="s">
        <v>209</v>
      </c>
      <c r="BI588" t="s">
        <v>212</v>
      </c>
      <c r="BJ588" t="s">
        <v>213</v>
      </c>
      <c r="BK588" t="s">
        <v>214</v>
      </c>
      <c r="BL588" t="s">
        <v>215</v>
      </c>
      <c r="BN588" t="s">
        <v>216</v>
      </c>
      <c r="BO588" t="s">
        <v>209</v>
      </c>
      <c r="BP588" t="s">
        <v>217</v>
      </c>
      <c r="BQ588" t="s">
        <v>1660</v>
      </c>
      <c r="BS588" t="s">
        <v>219</v>
      </c>
      <c r="BT588" t="s">
        <v>220</v>
      </c>
      <c r="BU588" t="s">
        <v>206</v>
      </c>
      <c r="BX588" t="s">
        <v>221</v>
      </c>
      <c r="BY588" t="s">
        <v>221</v>
      </c>
      <c r="CA588" t="s">
        <v>256</v>
      </c>
      <c r="CB588" t="s">
        <v>223</v>
      </c>
      <c r="CC588" t="s">
        <v>209</v>
      </c>
      <c r="CE588" t="s">
        <v>342</v>
      </c>
      <c r="CF588" t="s">
        <v>226</v>
      </c>
      <c r="CG588" t="s">
        <v>343</v>
      </c>
      <c r="CH588" t="s">
        <v>228</v>
      </c>
      <c r="CI588" t="s">
        <v>1661</v>
      </c>
      <c r="CJ588" t="s">
        <v>206</v>
      </c>
      <c r="CK588" t="s">
        <v>230</v>
      </c>
      <c r="CL588" t="s">
        <v>231</v>
      </c>
      <c r="CM588" t="s">
        <v>232</v>
      </c>
      <c r="CN588" t="s">
        <v>233</v>
      </c>
      <c r="CP588" t="s">
        <v>212</v>
      </c>
      <c r="CQ588" t="s">
        <v>212</v>
      </c>
      <c r="CR588" t="s">
        <v>212</v>
      </c>
      <c r="CS588" t="s">
        <v>212</v>
      </c>
      <c r="CY588" t="s">
        <v>212</v>
      </c>
      <c r="DB588" t="s">
        <v>234</v>
      </c>
      <c r="DE588" t="s">
        <v>212</v>
      </c>
      <c r="DF588" t="s">
        <v>212</v>
      </c>
      <c r="DG588" t="s">
        <v>235</v>
      </c>
      <c r="DH588" t="s">
        <v>212</v>
      </c>
      <c r="DJ588" t="s">
        <v>236</v>
      </c>
      <c r="DM588" t="s">
        <v>212</v>
      </c>
    </row>
    <row r="589" spans="1:117" x14ac:dyDescent="0.3">
      <c r="A589">
        <v>343299</v>
      </c>
      <c r="B589">
        <v>171816</v>
      </c>
      <c r="C589" t="str">
        <f>"080615651953"</f>
        <v>080615651953</v>
      </c>
      <c r="D589" t="s">
        <v>296</v>
      </c>
      <c r="E589" t="s">
        <v>312</v>
      </c>
      <c r="F589" t="s">
        <v>1662</v>
      </c>
      <c r="G589" s="1">
        <v>39614</v>
      </c>
      <c r="I589" t="s">
        <v>199</v>
      </c>
      <c r="J589" t="s">
        <v>200</v>
      </c>
      <c r="K589" t="s">
        <v>201</v>
      </c>
      <c r="R589" t="str">
        <f>"КАЗАХСТАН, АКМОЛИНСКАЯ, СТЕПНОГОРСК, 41, 7"</f>
        <v>КАЗАХСТАН, АКМОЛИНСКАЯ, СТЕПНОГОРСК, 41, 7</v>
      </c>
      <c r="S589" t="str">
        <f>"ҚАЗАҚСТАН, АҚМОЛА, СТЕПНОГОР, 41, 7"</f>
        <v>ҚАЗАҚСТАН, АҚМОЛА, СТЕПНОГОР, 41, 7</v>
      </c>
      <c r="T589" t="str">
        <f>"41, 7"</f>
        <v>41, 7</v>
      </c>
      <c r="U589" t="str">
        <f>"41, 7"</f>
        <v>41, 7</v>
      </c>
      <c r="AC589" t="str">
        <f>"2016-02-19T00:00:00"</f>
        <v>2016-02-19T00:00:00</v>
      </c>
      <c r="AD589" t="str">
        <f>"59"</f>
        <v>59</v>
      </c>
      <c r="AG589" t="s">
        <v>202</v>
      </c>
      <c r="AH589" t="str">
        <f t="shared" si="19"/>
        <v>ckool007@mail.ru</v>
      </c>
      <c r="AI589" t="s">
        <v>203</v>
      </c>
      <c r="AJ589" t="s">
        <v>204</v>
      </c>
      <c r="AK589" t="s">
        <v>246</v>
      </c>
      <c r="AL589" t="s">
        <v>206</v>
      </c>
      <c r="AN589" t="s">
        <v>207</v>
      </c>
      <c r="AO589">
        <v>1</v>
      </c>
      <c r="AP589" t="s">
        <v>208</v>
      </c>
      <c r="AQ589" t="s">
        <v>209</v>
      </c>
      <c r="AR589" t="s">
        <v>210</v>
      </c>
      <c r="AW589" t="s">
        <v>206</v>
      </c>
      <c r="AX589" t="s">
        <v>211</v>
      </c>
      <c r="AZ589" t="s">
        <v>209</v>
      </c>
      <c r="BI589" t="s">
        <v>212</v>
      </c>
      <c r="BJ589" t="s">
        <v>213</v>
      </c>
      <c r="BK589" t="s">
        <v>214</v>
      </c>
      <c r="BL589" t="s">
        <v>215</v>
      </c>
      <c r="BN589" t="s">
        <v>216</v>
      </c>
      <c r="BO589" t="s">
        <v>209</v>
      </c>
      <c r="BP589" t="s">
        <v>241</v>
      </c>
      <c r="BQ589">
        <v>4</v>
      </c>
      <c r="BS589" t="s">
        <v>219</v>
      </c>
      <c r="BT589" t="s">
        <v>220</v>
      </c>
      <c r="BU589" t="s">
        <v>206</v>
      </c>
      <c r="BX589" t="s">
        <v>221</v>
      </c>
      <c r="BY589" t="s">
        <v>221</v>
      </c>
      <c r="CA589" t="s">
        <v>222</v>
      </c>
      <c r="CB589" t="s">
        <v>223</v>
      </c>
      <c r="CC589" t="s">
        <v>353</v>
      </c>
      <c r="CD589" t="s">
        <v>223</v>
      </c>
      <c r="CE589" t="s">
        <v>242</v>
      </c>
      <c r="CJ589" t="s">
        <v>206</v>
      </c>
      <c r="CK589" t="s">
        <v>230</v>
      </c>
      <c r="CL589" t="s">
        <v>231</v>
      </c>
      <c r="CM589" t="s">
        <v>232</v>
      </c>
      <c r="CN589" t="s">
        <v>233</v>
      </c>
      <c r="CP589" t="s">
        <v>212</v>
      </c>
      <c r="CQ589" t="s">
        <v>212</v>
      </c>
      <c r="CR589" t="s">
        <v>212</v>
      </c>
      <c r="CS589" t="s">
        <v>212</v>
      </c>
      <c r="CY589" t="s">
        <v>212</v>
      </c>
      <c r="DB589" t="s">
        <v>234</v>
      </c>
      <c r="DE589" t="s">
        <v>212</v>
      </c>
      <c r="DF589" t="s">
        <v>212</v>
      </c>
      <c r="DG589" t="s">
        <v>235</v>
      </c>
      <c r="DH589" t="s">
        <v>212</v>
      </c>
      <c r="DJ589" t="s">
        <v>236</v>
      </c>
      <c r="DM589" t="s">
        <v>206</v>
      </c>
    </row>
    <row r="590" spans="1:117" x14ac:dyDescent="0.3">
      <c r="A590">
        <v>343253</v>
      </c>
      <c r="B590">
        <v>310282</v>
      </c>
      <c r="C590" t="str">
        <f>"080331553870"</f>
        <v>080331553870</v>
      </c>
      <c r="D590" t="s">
        <v>1285</v>
      </c>
      <c r="E590" t="s">
        <v>1663</v>
      </c>
      <c r="F590" t="s">
        <v>1450</v>
      </c>
      <c r="G590" s="1">
        <v>39538</v>
      </c>
      <c r="I590" t="s">
        <v>240</v>
      </c>
      <c r="J590" t="s">
        <v>200</v>
      </c>
      <c r="K590" t="s">
        <v>201</v>
      </c>
      <c r="R590" t="str">
        <f>"АНДОРРА, АКМОЛИНСКАЯ, СТЕПНОГОРСК, 21, 50"</f>
        <v>АНДОРРА, АКМОЛИНСКАЯ, СТЕПНОГОРСК, 21, 50</v>
      </c>
      <c r="S590" t="str">
        <f>"АНДОРРА, АҚМОЛА, СТЕПНОГОР, 21, 50"</f>
        <v>АНДОРРА, АҚМОЛА, СТЕПНОГОР, 21, 50</v>
      </c>
      <c r="T590" t="str">
        <f>"21, 50"</f>
        <v>21, 50</v>
      </c>
      <c r="U590" t="str">
        <f>"21, 50"</f>
        <v>21, 50</v>
      </c>
      <c r="AC590" t="str">
        <f>"2015-09-01T00:00:00"</f>
        <v>2015-09-01T00:00:00</v>
      </c>
      <c r="AD590" t="str">
        <f>"1"</f>
        <v>1</v>
      </c>
      <c r="AG590" t="s">
        <v>202</v>
      </c>
      <c r="AH590" t="str">
        <f t="shared" si="19"/>
        <v>ckool007@mail.ru</v>
      </c>
      <c r="AI590" t="s">
        <v>203</v>
      </c>
      <c r="AJ590" t="s">
        <v>204</v>
      </c>
      <c r="AK590" t="s">
        <v>253</v>
      </c>
      <c r="AL590" t="s">
        <v>206</v>
      </c>
      <c r="AN590" t="s">
        <v>254</v>
      </c>
      <c r="AO590">
        <v>1</v>
      </c>
      <c r="AP590" t="s">
        <v>208</v>
      </c>
      <c r="AQ590" t="s">
        <v>209</v>
      </c>
      <c r="AR590" t="s">
        <v>210</v>
      </c>
      <c r="AW590" t="s">
        <v>206</v>
      </c>
      <c r="AX590" t="s">
        <v>211</v>
      </c>
      <c r="AZ590" t="s">
        <v>209</v>
      </c>
      <c r="BI590" t="s">
        <v>212</v>
      </c>
      <c r="BJ590" t="s">
        <v>213</v>
      </c>
      <c r="BK590" t="s">
        <v>214</v>
      </c>
      <c r="BL590" t="s">
        <v>215</v>
      </c>
      <c r="BN590" t="s">
        <v>216</v>
      </c>
      <c r="BO590" t="s">
        <v>209</v>
      </c>
      <c r="BP590" t="s">
        <v>241</v>
      </c>
      <c r="BQ590">
        <v>4</v>
      </c>
      <c r="BS590" t="s">
        <v>219</v>
      </c>
      <c r="BT590" t="s">
        <v>220</v>
      </c>
      <c r="BU590" t="s">
        <v>206</v>
      </c>
      <c r="BX590" t="s">
        <v>221</v>
      </c>
      <c r="BY590" t="s">
        <v>221</v>
      </c>
      <c r="CA590" t="s">
        <v>256</v>
      </c>
      <c r="CB590" t="s">
        <v>223</v>
      </c>
      <c r="CC590" t="s">
        <v>256</v>
      </c>
      <c r="CD590" t="s">
        <v>223</v>
      </c>
      <c r="CE590" t="s">
        <v>242</v>
      </c>
      <c r="CJ590" t="s">
        <v>206</v>
      </c>
      <c r="CK590" t="s">
        <v>230</v>
      </c>
      <c r="CL590" t="s">
        <v>231</v>
      </c>
      <c r="CM590" t="s">
        <v>232</v>
      </c>
      <c r="CN590" t="s">
        <v>233</v>
      </c>
      <c r="CP590" t="s">
        <v>212</v>
      </c>
      <c r="CQ590" t="s">
        <v>212</v>
      </c>
      <c r="CR590" t="s">
        <v>212</v>
      </c>
      <c r="CS590" t="s">
        <v>212</v>
      </c>
      <c r="CY590" t="s">
        <v>212</v>
      </c>
      <c r="DB590" t="s">
        <v>234</v>
      </c>
      <c r="DE590" t="s">
        <v>212</v>
      </c>
      <c r="DF590" t="s">
        <v>212</v>
      </c>
      <c r="DG590" t="s">
        <v>235</v>
      </c>
      <c r="DH590" t="s">
        <v>212</v>
      </c>
      <c r="DJ590" t="s">
        <v>236</v>
      </c>
      <c r="DM590" t="s">
        <v>212</v>
      </c>
    </row>
    <row r="591" spans="1:117" x14ac:dyDescent="0.3">
      <c r="A591">
        <v>343085</v>
      </c>
      <c r="B591">
        <v>310130</v>
      </c>
      <c r="C591" t="str">
        <f>"100930653730"</f>
        <v>100930653730</v>
      </c>
      <c r="D591" t="s">
        <v>1585</v>
      </c>
      <c r="E591" t="s">
        <v>1135</v>
      </c>
      <c r="F591" t="s">
        <v>305</v>
      </c>
      <c r="G591" s="1">
        <v>40451</v>
      </c>
      <c r="I591" t="s">
        <v>199</v>
      </c>
      <c r="J591" t="s">
        <v>200</v>
      </c>
      <c r="K591" t="s">
        <v>260</v>
      </c>
      <c r="R591" t="str">
        <f>"КАЗАХСТАН, АКМОЛИНСКАЯ, СТЕПНОГОРСК, 12, 75"</f>
        <v>КАЗАХСТАН, АКМОЛИНСКАЯ, СТЕПНОГОРСК, 12, 75</v>
      </c>
      <c r="S591" t="str">
        <f>"ҚАЗАҚСТАН, АҚМОЛА, СТЕПНОГОР, 12, 75"</f>
        <v>ҚАЗАҚСТАН, АҚМОЛА, СТЕПНОГОР, 12, 75</v>
      </c>
      <c r="T591" t="str">
        <f>"12, 75"</f>
        <v>12, 75</v>
      </c>
      <c r="U591" t="str">
        <f>"12, 75"</f>
        <v>12, 75</v>
      </c>
      <c r="AC591" t="str">
        <f>"2017-08-29T00:00:00"</f>
        <v>2017-08-29T00:00:00</v>
      </c>
      <c r="AD591" t="str">
        <f>"112"</f>
        <v>112</v>
      </c>
      <c r="AG591" t="s">
        <v>202</v>
      </c>
      <c r="AI591" t="s">
        <v>274</v>
      </c>
      <c r="AJ591" t="s">
        <v>300</v>
      </c>
      <c r="AK591" t="s">
        <v>246</v>
      </c>
      <c r="AL591" t="s">
        <v>206</v>
      </c>
      <c r="AN591" t="s">
        <v>207</v>
      </c>
      <c r="AO591">
        <v>1</v>
      </c>
      <c r="AP591" t="s">
        <v>208</v>
      </c>
      <c r="AQ591" t="s">
        <v>209</v>
      </c>
      <c r="AR591" t="s">
        <v>210</v>
      </c>
      <c r="AW591" t="s">
        <v>206</v>
      </c>
      <c r="AX591" t="s">
        <v>211</v>
      </c>
      <c r="AZ591" t="s">
        <v>209</v>
      </c>
      <c r="BI591" t="s">
        <v>212</v>
      </c>
      <c r="BJ591" t="s">
        <v>213</v>
      </c>
      <c r="BK591" t="s">
        <v>214</v>
      </c>
      <c r="BL591" t="s">
        <v>215</v>
      </c>
      <c r="BN591" t="s">
        <v>247</v>
      </c>
      <c r="BO591" t="s">
        <v>209</v>
      </c>
      <c r="BP591" t="s">
        <v>241</v>
      </c>
      <c r="BQ591">
        <v>3</v>
      </c>
      <c r="BS591" t="s">
        <v>219</v>
      </c>
      <c r="BT591" t="s">
        <v>220</v>
      </c>
      <c r="BU591" t="s">
        <v>206</v>
      </c>
      <c r="BX591" t="s">
        <v>221</v>
      </c>
      <c r="BY591" t="s">
        <v>221</v>
      </c>
      <c r="CA591" t="s">
        <v>222</v>
      </c>
      <c r="CB591" t="s">
        <v>223</v>
      </c>
      <c r="CC591" t="s">
        <v>353</v>
      </c>
      <c r="CD591" t="s">
        <v>223</v>
      </c>
      <c r="CE591" t="s">
        <v>242</v>
      </c>
      <c r="CJ591" t="s">
        <v>206</v>
      </c>
      <c r="CK591" t="s">
        <v>230</v>
      </c>
      <c r="CL591" t="s">
        <v>231</v>
      </c>
      <c r="CM591" t="s">
        <v>232</v>
      </c>
      <c r="CN591" t="s">
        <v>233</v>
      </c>
      <c r="CP591" t="s">
        <v>212</v>
      </c>
      <c r="CQ591" t="s">
        <v>212</v>
      </c>
      <c r="CR591" t="s">
        <v>212</v>
      </c>
      <c r="CS591" t="s">
        <v>212</v>
      </c>
      <c r="CY591" t="s">
        <v>212</v>
      </c>
      <c r="DB591" t="s">
        <v>234</v>
      </c>
      <c r="DE591" t="s">
        <v>212</v>
      </c>
      <c r="DF591" t="s">
        <v>212</v>
      </c>
      <c r="DG591" t="s">
        <v>235</v>
      </c>
      <c r="DH591" t="s">
        <v>212</v>
      </c>
      <c r="DJ591" t="s">
        <v>236</v>
      </c>
      <c r="DM591" t="s">
        <v>206</v>
      </c>
    </row>
    <row r="592" spans="1:117" x14ac:dyDescent="0.3">
      <c r="A592">
        <v>343053</v>
      </c>
      <c r="B592">
        <v>310103</v>
      </c>
      <c r="C592" t="str">
        <f>"100930653710"</f>
        <v>100930653710</v>
      </c>
      <c r="D592" t="s">
        <v>1585</v>
      </c>
      <c r="E592" t="s">
        <v>1664</v>
      </c>
      <c r="F592" t="s">
        <v>305</v>
      </c>
      <c r="G592" s="1">
        <v>40451</v>
      </c>
      <c r="I592" t="s">
        <v>199</v>
      </c>
      <c r="J592" t="s">
        <v>200</v>
      </c>
      <c r="K592" t="s">
        <v>260</v>
      </c>
      <c r="R592" t="str">
        <f>"КАЗАХСТАН, АКМОЛИНСКАЯ, СТЕПНОГОРСК, 12, 75"</f>
        <v>КАЗАХСТАН, АКМОЛИНСКАЯ, СТЕПНОГОРСК, 12, 75</v>
      </c>
      <c r="S592" t="str">
        <f>"ҚАЗАҚСТАН, АҚМОЛА, СТЕПНОГОР, 12, 75"</f>
        <v>ҚАЗАҚСТАН, АҚМОЛА, СТЕПНОГОР, 12, 75</v>
      </c>
      <c r="T592" t="str">
        <f>"12, 75"</f>
        <v>12, 75</v>
      </c>
      <c r="U592" t="str">
        <f>"12, 75"</f>
        <v>12, 75</v>
      </c>
      <c r="AC592" t="str">
        <f>"2017-08-29T00:00:00"</f>
        <v>2017-08-29T00:00:00</v>
      </c>
      <c r="AD592" t="str">
        <f>"112"</f>
        <v>112</v>
      </c>
      <c r="AG592" t="s">
        <v>202</v>
      </c>
      <c r="AI592" t="s">
        <v>274</v>
      </c>
      <c r="AJ592" t="s">
        <v>300</v>
      </c>
      <c r="AK592" t="s">
        <v>246</v>
      </c>
      <c r="AL592" t="s">
        <v>206</v>
      </c>
      <c r="AN592" t="s">
        <v>207</v>
      </c>
      <c r="AO592">
        <v>1</v>
      </c>
      <c r="AP592" t="s">
        <v>208</v>
      </c>
      <c r="AQ592" t="s">
        <v>209</v>
      </c>
      <c r="AR592" t="s">
        <v>210</v>
      </c>
      <c r="AW592" t="s">
        <v>206</v>
      </c>
      <c r="AX592" t="s">
        <v>211</v>
      </c>
      <c r="AZ592" t="s">
        <v>209</v>
      </c>
      <c r="BI592" t="s">
        <v>212</v>
      </c>
      <c r="BJ592" t="s">
        <v>213</v>
      </c>
      <c r="BK592" t="s">
        <v>214</v>
      </c>
      <c r="BL592" t="s">
        <v>215</v>
      </c>
      <c r="BN592" t="s">
        <v>247</v>
      </c>
      <c r="BO592" t="s">
        <v>209</v>
      </c>
      <c r="BP592" t="s">
        <v>241</v>
      </c>
      <c r="BQ592">
        <v>3</v>
      </c>
      <c r="BS592" t="s">
        <v>219</v>
      </c>
      <c r="BT592" t="s">
        <v>220</v>
      </c>
      <c r="BU592" t="s">
        <v>206</v>
      </c>
      <c r="BX592" t="s">
        <v>221</v>
      </c>
      <c r="BY592" t="s">
        <v>221</v>
      </c>
      <c r="CA592" t="s">
        <v>222</v>
      </c>
      <c r="CB592" t="s">
        <v>223</v>
      </c>
      <c r="CC592" t="s">
        <v>353</v>
      </c>
      <c r="CD592" t="s">
        <v>223</v>
      </c>
      <c r="CE592" t="s">
        <v>242</v>
      </c>
      <c r="CJ592" t="s">
        <v>206</v>
      </c>
      <c r="CK592" t="s">
        <v>230</v>
      </c>
      <c r="CL592" t="s">
        <v>231</v>
      </c>
      <c r="CM592" t="s">
        <v>232</v>
      </c>
      <c r="CN592" t="s">
        <v>233</v>
      </c>
      <c r="CP592" t="s">
        <v>212</v>
      </c>
      <c r="CQ592" t="s">
        <v>212</v>
      </c>
      <c r="CR592" t="s">
        <v>212</v>
      </c>
      <c r="CS592" t="s">
        <v>212</v>
      </c>
      <c r="CY592" t="s">
        <v>212</v>
      </c>
      <c r="DB592" t="s">
        <v>234</v>
      </c>
      <c r="DE592" t="s">
        <v>212</v>
      </c>
      <c r="DF592" t="s">
        <v>212</v>
      </c>
      <c r="DG592" t="s">
        <v>235</v>
      </c>
      <c r="DH592" t="s">
        <v>212</v>
      </c>
      <c r="DJ592" t="s">
        <v>236</v>
      </c>
      <c r="DM592" t="s">
        <v>206</v>
      </c>
    </row>
    <row r="593" spans="1:117" x14ac:dyDescent="0.3">
      <c r="A593">
        <v>343025</v>
      </c>
      <c r="B593">
        <v>310081</v>
      </c>
      <c r="C593" t="str">
        <f>"100628550996"</f>
        <v>100628550996</v>
      </c>
      <c r="D593" t="s">
        <v>1665</v>
      </c>
      <c r="E593" t="s">
        <v>1666</v>
      </c>
      <c r="F593" t="s">
        <v>1667</v>
      </c>
      <c r="G593" s="1">
        <v>40357</v>
      </c>
      <c r="I593" t="s">
        <v>240</v>
      </c>
      <c r="J593" t="s">
        <v>200</v>
      </c>
      <c r="K593" t="s">
        <v>201</v>
      </c>
      <c r="R593" t="str">
        <f>"АНДОРРА, АКМОЛИНСКАЯ, СТЕПНОГОРСК, 30, 8"</f>
        <v>АНДОРРА, АКМОЛИНСКАЯ, СТЕПНОГОРСК, 30, 8</v>
      </c>
      <c r="S593" t="str">
        <f>"АНДОРРА, АҚМОЛА, СТЕПНОГОР, 30, 8"</f>
        <v>АНДОРРА, АҚМОЛА, СТЕПНОГОР, 30, 8</v>
      </c>
      <c r="T593" t="str">
        <f>"30, 8"</f>
        <v>30, 8</v>
      </c>
      <c r="U593" t="str">
        <f>"30, 8"</f>
        <v>30, 8</v>
      </c>
      <c r="AC593" t="str">
        <f>"2016-09-01T00:00:00"</f>
        <v>2016-09-01T00:00:00</v>
      </c>
      <c r="AD593" t="str">
        <f t="shared" ref="AD593:AD598" si="21">"1"</f>
        <v>1</v>
      </c>
      <c r="AG593" t="s">
        <v>202</v>
      </c>
      <c r="AH593" t="str">
        <f t="shared" ref="AH593:AH602" si="22">"ckool007@mail.ru"</f>
        <v>ckool007@mail.ru</v>
      </c>
      <c r="AI593" t="s">
        <v>203</v>
      </c>
      <c r="AJ593" t="s">
        <v>286</v>
      </c>
      <c r="AK593" t="s">
        <v>261</v>
      </c>
      <c r="AL593" t="s">
        <v>206</v>
      </c>
      <c r="AN593" t="s">
        <v>207</v>
      </c>
      <c r="AO593">
        <v>1</v>
      </c>
      <c r="AP593" t="s">
        <v>208</v>
      </c>
      <c r="AQ593" t="s">
        <v>209</v>
      </c>
      <c r="AR593" t="s">
        <v>210</v>
      </c>
      <c r="AW593" t="s">
        <v>206</v>
      </c>
      <c r="AX593" t="s">
        <v>211</v>
      </c>
      <c r="AZ593" t="s">
        <v>209</v>
      </c>
      <c r="BI593" t="s">
        <v>212</v>
      </c>
      <c r="BJ593" t="s">
        <v>213</v>
      </c>
      <c r="BK593" t="s">
        <v>214</v>
      </c>
      <c r="BL593" t="s">
        <v>215</v>
      </c>
      <c r="BN593" t="s">
        <v>281</v>
      </c>
      <c r="BO593" t="s">
        <v>209</v>
      </c>
      <c r="BP593" t="s">
        <v>241</v>
      </c>
      <c r="BQ593">
        <v>5</v>
      </c>
      <c r="BS593" t="s">
        <v>219</v>
      </c>
      <c r="BT593" t="s">
        <v>220</v>
      </c>
      <c r="BU593" t="s">
        <v>206</v>
      </c>
      <c r="BX593" t="s">
        <v>221</v>
      </c>
      <c r="BY593" t="s">
        <v>221</v>
      </c>
      <c r="CA593" t="s">
        <v>287</v>
      </c>
      <c r="CC593" t="s">
        <v>256</v>
      </c>
      <c r="CD593" t="s">
        <v>223</v>
      </c>
      <c r="CE593" t="s">
        <v>1668</v>
      </c>
      <c r="CF593" t="s">
        <v>1669</v>
      </c>
      <c r="CG593" t="s">
        <v>764</v>
      </c>
      <c r="CH593" t="s">
        <v>1670</v>
      </c>
      <c r="CI593" t="s">
        <v>1671</v>
      </c>
      <c r="CJ593" t="s">
        <v>206</v>
      </c>
      <c r="CK593" t="s">
        <v>230</v>
      </c>
      <c r="CL593" t="s">
        <v>231</v>
      </c>
      <c r="CM593" t="s">
        <v>232</v>
      </c>
      <c r="CN593" t="s">
        <v>233</v>
      </c>
      <c r="CP593" t="s">
        <v>212</v>
      </c>
      <c r="CQ593" t="s">
        <v>212</v>
      </c>
      <c r="CR593" t="s">
        <v>212</v>
      </c>
      <c r="CS593" t="s">
        <v>212</v>
      </c>
      <c r="CY593" t="s">
        <v>212</v>
      </c>
      <c r="DB593" t="s">
        <v>234</v>
      </c>
      <c r="DE593" t="s">
        <v>212</v>
      </c>
      <c r="DF593" t="s">
        <v>212</v>
      </c>
      <c r="DG593" t="s">
        <v>235</v>
      </c>
      <c r="DH593" t="s">
        <v>212</v>
      </c>
      <c r="DJ593" t="s">
        <v>236</v>
      </c>
      <c r="DM593" t="s">
        <v>212</v>
      </c>
    </row>
    <row r="594" spans="1:117" x14ac:dyDescent="0.3">
      <c r="A594">
        <v>343000</v>
      </c>
      <c r="B594">
        <v>310062</v>
      </c>
      <c r="C594" t="str">
        <f>"100711653274"</f>
        <v>100711653274</v>
      </c>
      <c r="D594" t="s">
        <v>1672</v>
      </c>
      <c r="E594" t="s">
        <v>677</v>
      </c>
      <c r="F594" t="s">
        <v>305</v>
      </c>
      <c r="G594" s="1">
        <v>40370</v>
      </c>
      <c r="I594" t="s">
        <v>199</v>
      </c>
      <c r="J594" t="s">
        <v>200</v>
      </c>
      <c r="K594" t="s">
        <v>260</v>
      </c>
      <c r="R594" t="str">
        <f>"КАЗАХСТАН, АКМОЛИНСКАЯ, СТЕПНОГОРСК, 36, 48"</f>
        <v>КАЗАХСТАН, АКМОЛИНСКАЯ, СТЕПНОГОРСК, 36, 48</v>
      </c>
      <c r="S594" t="str">
        <f>"ҚАЗАҚСТАН, АҚМОЛА, СТЕПНОГОР, 36, 48"</f>
        <v>ҚАЗАҚСТАН, АҚМОЛА, СТЕПНОГОР, 36, 48</v>
      </c>
      <c r="T594" t="str">
        <f>"36, 48"</f>
        <v>36, 48</v>
      </c>
      <c r="U594" t="str">
        <f>"36, 48"</f>
        <v>36, 48</v>
      </c>
      <c r="AC594" t="str">
        <f>"2016-09-01T00:00:00"</f>
        <v>2016-09-01T00:00:00</v>
      </c>
      <c r="AD594" t="str">
        <f t="shared" si="21"/>
        <v>1</v>
      </c>
      <c r="AE594" t="str">
        <f>"2023-09-01T08:50:40"</f>
        <v>2023-09-01T08:50:40</v>
      </c>
      <c r="AF594" t="str">
        <f>"2024-05-25T08:50:40"</f>
        <v>2024-05-25T08:50:40</v>
      </c>
      <c r="AG594" t="s">
        <v>202</v>
      </c>
      <c r="AH594" t="str">
        <f t="shared" si="22"/>
        <v>ckool007@mail.ru</v>
      </c>
      <c r="AI594" t="s">
        <v>203</v>
      </c>
      <c r="AJ594" t="s">
        <v>286</v>
      </c>
      <c r="AK594" t="s">
        <v>261</v>
      </c>
      <c r="AL594" t="s">
        <v>206</v>
      </c>
      <c r="AN594" t="s">
        <v>207</v>
      </c>
      <c r="AO594">
        <v>1</v>
      </c>
      <c r="AP594" t="s">
        <v>208</v>
      </c>
      <c r="AQ594" t="s">
        <v>209</v>
      </c>
      <c r="AR594" t="s">
        <v>210</v>
      </c>
      <c r="AW594" t="s">
        <v>206</v>
      </c>
      <c r="AX594" t="s">
        <v>211</v>
      </c>
      <c r="AZ594" t="s">
        <v>209</v>
      </c>
      <c r="BI594" t="s">
        <v>212</v>
      </c>
      <c r="BJ594" t="s">
        <v>213</v>
      </c>
      <c r="BK594" t="s">
        <v>214</v>
      </c>
      <c r="BL594" t="s">
        <v>215</v>
      </c>
      <c r="BN594" t="s">
        <v>281</v>
      </c>
      <c r="BO594" t="s">
        <v>209</v>
      </c>
      <c r="BP594" t="s">
        <v>241</v>
      </c>
      <c r="BQ594">
        <v>5</v>
      </c>
      <c r="BS594" t="s">
        <v>219</v>
      </c>
      <c r="BT594" t="s">
        <v>220</v>
      </c>
      <c r="BU594" t="s">
        <v>206</v>
      </c>
      <c r="BX594" t="s">
        <v>221</v>
      </c>
      <c r="BY594" t="s">
        <v>221</v>
      </c>
      <c r="CA594" t="s">
        <v>287</v>
      </c>
      <c r="CC594" t="s">
        <v>209</v>
      </c>
      <c r="CE594" t="s">
        <v>563</v>
      </c>
      <c r="CF594" t="s">
        <v>564</v>
      </c>
      <c r="CG594" t="s">
        <v>764</v>
      </c>
      <c r="CH594" t="s">
        <v>1670</v>
      </c>
      <c r="CI594" t="s">
        <v>1671</v>
      </c>
      <c r="CJ594" t="s">
        <v>206</v>
      </c>
      <c r="CK594" t="s">
        <v>230</v>
      </c>
      <c r="CL594" t="s">
        <v>231</v>
      </c>
      <c r="CM594" t="s">
        <v>232</v>
      </c>
      <c r="CN594" t="s">
        <v>233</v>
      </c>
      <c r="CP594" t="s">
        <v>212</v>
      </c>
      <c r="CQ594" t="s">
        <v>212</v>
      </c>
      <c r="CR594" t="s">
        <v>212</v>
      </c>
      <c r="CS594" t="s">
        <v>212</v>
      </c>
      <c r="CY594" t="s">
        <v>206</v>
      </c>
      <c r="CZ594" t="str">
        <f>"2023-02-20T16:30:13"</f>
        <v>2023-02-20T16:30:13</v>
      </c>
      <c r="DB594" t="s">
        <v>234</v>
      </c>
      <c r="DE594" t="s">
        <v>212</v>
      </c>
      <c r="DF594" t="s">
        <v>212</v>
      </c>
      <c r="DG594" t="s">
        <v>235</v>
      </c>
      <c r="DH594" t="s">
        <v>212</v>
      </c>
      <c r="DJ594" t="s">
        <v>236</v>
      </c>
      <c r="DM594" t="s">
        <v>212</v>
      </c>
    </row>
    <row r="595" spans="1:117" x14ac:dyDescent="0.3">
      <c r="A595">
        <v>342878</v>
      </c>
      <c r="B595">
        <v>309943</v>
      </c>
      <c r="C595" t="str">
        <f>"091223651967"</f>
        <v>091223651967</v>
      </c>
      <c r="D595" t="s">
        <v>1673</v>
      </c>
      <c r="E595" t="s">
        <v>1674</v>
      </c>
      <c r="F595" t="s">
        <v>1163</v>
      </c>
      <c r="G595" s="1">
        <v>40170</v>
      </c>
      <c r="I595" t="s">
        <v>199</v>
      </c>
      <c r="J595" t="s">
        <v>200</v>
      </c>
      <c r="K595" t="s">
        <v>260</v>
      </c>
      <c r="R595" t="str">
        <f>"АНДОРРА, АКМОЛИНСКАЯ, СТЕПНОГОРСК, 46, 10"</f>
        <v>АНДОРРА, АКМОЛИНСКАЯ, СТЕПНОГОРСК, 46, 10</v>
      </c>
      <c r="S595" t="str">
        <f>"АНДОРРА, АҚМОЛА, СТЕПНОГОР, 46, 10"</f>
        <v>АНДОРРА, АҚМОЛА, СТЕПНОГОР, 46, 10</v>
      </c>
      <c r="T595" t="str">
        <f>"46, 10"</f>
        <v>46, 10</v>
      </c>
      <c r="U595" t="str">
        <f>"46, 10"</f>
        <v>46, 10</v>
      </c>
      <c r="AC595" t="str">
        <f>"2016-09-01T00:00:00"</f>
        <v>2016-09-01T00:00:00</v>
      </c>
      <c r="AD595" t="str">
        <f t="shared" si="21"/>
        <v>1</v>
      </c>
      <c r="AG595" t="s">
        <v>202</v>
      </c>
      <c r="AH595" t="str">
        <f t="shared" si="22"/>
        <v>ckool007@mail.ru</v>
      </c>
      <c r="AI595" t="s">
        <v>203</v>
      </c>
      <c r="AJ595" t="s">
        <v>286</v>
      </c>
      <c r="AK595" t="s">
        <v>205</v>
      </c>
      <c r="AL595" t="s">
        <v>206</v>
      </c>
      <c r="AN595" t="s">
        <v>207</v>
      </c>
      <c r="AO595">
        <v>1</v>
      </c>
      <c r="AP595" t="s">
        <v>208</v>
      </c>
      <c r="AQ595" t="s">
        <v>209</v>
      </c>
      <c r="AR595" t="s">
        <v>210</v>
      </c>
      <c r="AW595" t="s">
        <v>206</v>
      </c>
      <c r="AX595" t="s">
        <v>211</v>
      </c>
      <c r="AZ595" t="s">
        <v>209</v>
      </c>
      <c r="BI595" t="s">
        <v>212</v>
      </c>
      <c r="BJ595" t="s">
        <v>213</v>
      </c>
      <c r="BK595" t="s">
        <v>214</v>
      </c>
      <c r="BL595" t="s">
        <v>215</v>
      </c>
      <c r="BN595" t="s">
        <v>247</v>
      </c>
      <c r="BO595" t="s">
        <v>209</v>
      </c>
      <c r="BP595" t="s">
        <v>217</v>
      </c>
      <c r="BQ595" t="s">
        <v>599</v>
      </c>
      <c r="BS595" t="s">
        <v>219</v>
      </c>
      <c r="BT595" t="s">
        <v>220</v>
      </c>
      <c r="BU595" t="s">
        <v>206</v>
      </c>
      <c r="BX595" t="s">
        <v>221</v>
      </c>
      <c r="BY595" t="s">
        <v>221</v>
      </c>
      <c r="CA595" t="s">
        <v>287</v>
      </c>
      <c r="CC595" t="s">
        <v>301</v>
      </c>
      <c r="CD595" t="s">
        <v>223</v>
      </c>
      <c r="CE595" t="s">
        <v>242</v>
      </c>
      <c r="CJ595" t="s">
        <v>206</v>
      </c>
      <c r="CK595" t="s">
        <v>230</v>
      </c>
      <c r="CL595" t="s">
        <v>231</v>
      </c>
      <c r="CM595" t="s">
        <v>232</v>
      </c>
      <c r="CN595" t="s">
        <v>233</v>
      </c>
      <c r="CP595" t="s">
        <v>212</v>
      </c>
      <c r="CQ595" t="s">
        <v>212</v>
      </c>
      <c r="CR595" t="s">
        <v>212</v>
      </c>
      <c r="CS595" t="s">
        <v>212</v>
      </c>
      <c r="CY595" t="s">
        <v>212</v>
      </c>
      <c r="DB595" t="s">
        <v>234</v>
      </c>
      <c r="DE595" t="s">
        <v>212</v>
      </c>
      <c r="DF595" t="s">
        <v>212</v>
      </c>
      <c r="DG595" t="s">
        <v>235</v>
      </c>
      <c r="DH595" t="s">
        <v>212</v>
      </c>
      <c r="DJ595" t="s">
        <v>236</v>
      </c>
      <c r="DM595" t="s">
        <v>212</v>
      </c>
    </row>
    <row r="596" spans="1:117" x14ac:dyDescent="0.3">
      <c r="A596">
        <v>342836</v>
      </c>
      <c r="B596">
        <v>309914</v>
      </c>
      <c r="C596" t="str">
        <f>"090116653592"</f>
        <v>090116653592</v>
      </c>
      <c r="D596" t="s">
        <v>1672</v>
      </c>
      <c r="E596" t="s">
        <v>1389</v>
      </c>
      <c r="F596" t="s">
        <v>305</v>
      </c>
      <c r="G596" s="1">
        <v>39829</v>
      </c>
      <c r="I596" t="s">
        <v>199</v>
      </c>
      <c r="J596" t="s">
        <v>200</v>
      </c>
      <c r="K596" t="s">
        <v>260</v>
      </c>
      <c r="R596" t="str">
        <f>"АНДОРРА, АКМОЛИНСКАЯ, СТЕПНОГОРСК, 36, 48"</f>
        <v>АНДОРРА, АКМОЛИНСКАЯ, СТЕПНОГОРСК, 36, 48</v>
      </c>
      <c r="S596" t="str">
        <f>"АНДОРРА, АҚМОЛА, СТЕПНОГОР, 36, 48"</f>
        <v>АНДОРРА, АҚМОЛА, СТЕПНОГОР, 36, 48</v>
      </c>
      <c r="T596" t="str">
        <f>"36, 48"</f>
        <v>36, 48</v>
      </c>
      <c r="U596" t="str">
        <f>"36, 48"</f>
        <v>36, 48</v>
      </c>
      <c r="AC596" t="str">
        <f>"2016-09-01T00:00:00"</f>
        <v>2016-09-01T00:00:00</v>
      </c>
      <c r="AD596" t="str">
        <f t="shared" si="21"/>
        <v>1</v>
      </c>
      <c r="AG596" t="s">
        <v>202</v>
      </c>
      <c r="AH596" t="str">
        <f t="shared" si="22"/>
        <v>ckool007@mail.ru</v>
      </c>
      <c r="AI596" t="s">
        <v>203</v>
      </c>
      <c r="AJ596" t="s">
        <v>286</v>
      </c>
      <c r="AK596" t="s">
        <v>261</v>
      </c>
      <c r="AL596" t="s">
        <v>206</v>
      </c>
      <c r="AN596" t="s">
        <v>207</v>
      </c>
      <c r="AO596">
        <v>1</v>
      </c>
      <c r="AP596" t="s">
        <v>208</v>
      </c>
      <c r="AQ596" t="s">
        <v>209</v>
      </c>
      <c r="AR596" t="s">
        <v>210</v>
      </c>
      <c r="AW596" t="s">
        <v>206</v>
      </c>
      <c r="AX596" t="s">
        <v>211</v>
      </c>
      <c r="AZ596" t="s">
        <v>209</v>
      </c>
      <c r="BI596" t="s">
        <v>212</v>
      </c>
      <c r="BJ596" t="s">
        <v>213</v>
      </c>
      <c r="BK596" t="s">
        <v>214</v>
      </c>
      <c r="BL596" t="s">
        <v>215</v>
      </c>
      <c r="BN596" t="s">
        <v>281</v>
      </c>
      <c r="BO596" t="s">
        <v>209</v>
      </c>
      <c r="BP596" t="s">
        <v>241</v>
      </c>
      <c r="BQ596">
        <v>5</v>
      </c>
      <c r="BS596" t="s">
        <v>219</v>
      </c>
      <c r="BT596" t="s">
        <v>220</v>
      </c>
      <c r="BU596" t="s">
        <v>206</v>
      </c>
      <c r="BX596" t="s">
        <v>221</v>
      </c>
      <c r="BY596" t="s">
        <v>221</v>
      </c>
      <c r="CA596" t="s">
        <v>287</v>
      </c>
      <c r="CC596" t="s">
        <v>209</v>
      </c>
      <c r="CE596" t="s">
        <v>914</v>
      </c>
      <c r="CF596" t="s">
        <v>1675</v>
      </c>
      <c r="CG596" t="s">
        <v>1676</v>
      </c>
      <c r="CH596" t="s">
        <v>1646</v>
      </c>
      <c r="CI596" t="s">
        <v>1677</v>
      </c>
      <c r="CJ596" t="s">
        <v>206</v>
      </c>
      <c r="CK596" t="s">
        <v>230</v>
      </c>
      <c r="CL596" t="s">
        <v>231</v>
      </c>
      <c r="CM596" t="s">
        <v>232</v>
      </c>
      <c r="CN596" t="s">
        <v>233</v>
      </c>
      <c r="CP596" t="s">
        <v>212</v>
      </c>
      <c r="CQ596" t="s">
        <v>212</v>
      </c>
      <c r="CR596" t="s">
        <v>212</v>
      </c>
      <c r="CS596" t="s">
        <v>212</v>
      </c>
      <c r="CY596" t="s">
        <v>212</v>
      </c>
      <c r="DB596" t="s">
        <v>234</v>
      </c>
      <c r="DE596" t="s">
        <v>212</v>
      </c>
      <c r="DF596" t="s">
        <v>212</v>
      </c>
      <c r="DG596" t="s">
        <v>235</v>
      </c>
      <c r="DH596" t="s">
        <v>212</v>
      </c>
      <c r="DJ596" t="s">
        <v>236</v>
      </c>
      <c r="DM596" t="s">
        <v>212</v>
      </c>
    </row>
    <row r="597" spans="1:117" x14ac:dyDescent="0.3">
      <c r="A597">
        <v>342453</v>
      </c>
      <c r="B597">
        <v>309578</v>
      </c>
      <c r="C597" t="str">
        <f>"091011650014"</f>
        <v>091011650014</v>
      </c>
      <c r="D597" t="s">
        <v>1678</v>
      </c>
      <c r="E597" t="s">
        <v>1124</v>
      </c>
      <c r="F597" t="s">
        <v>400</v>
      </c>
      <c r="G597" s="1">
        <v>40097</v>
      </c>
      <c r="I597" t="s">
        <v>199</v>
      </c>
      <c r="J597" t="s">
        <v>200</v>
      </c>
      <c r="K597" t="s">
        <v>260</v>
      </c>
      <c r="R597" t="str">
        <f>"АНДОРРА, АКМОЛИНСКАЯ, СТЕПНОГОРСК, 42, 43"</f>
        <v>АНДОРРА, АКМОЛИНСКАЯ, СТЕПНОГОРСК, 42, 43</v>
      </c>
      <c r="S597" t="str">
        <f>"АНДОРРА, АҚМОЛА, СТЕПНОГОР, 42, 43"</f>
        <v>АНДОРРА, АҚМОЛА, СТЕПНОГОР, 42, 43</v>
      </c>
      <c r="T597" t="str">
        <f>"42, 43"</f>
        <v>42, 43</v>
      </c>
      <c r="U597" t="str">
        <f>"42, 43"</f>
        <v>42, 43</v>
      </c>
      <c r="AC597" t="str">
        <f>"2016-09-01T00:00:00"</f>
        <v>2016-09-01T00:00:00</v>
      </c>
      <c r="AD597" t="str">
        <f t="shared" si="21"/>
        <v>1</v>
      </c>
      <c r="AG597" t="s">
        <v>202</v>
      </c>
      <c r="AH597" t="str">
        <f t="shared" si="22"/>
        <v>ckool007@mail.ru</v>
      </c>
      <c r="AI597" t="s">
        <v>203</v>
      </c>
      <c r="AJ597" t="s">
        <v>286</v>
      </c>
      <c r="AK597" t="s">
        <v>205</v>
      </c>
      <c r="AL597" t="s">
        <v>206</v>
      </c>
      <c r="AN597" t="s">
        <v>207</v>
      </c>
      <c r="AO597">
        <v>1</v>
      </c>
      <c r="AP597" t="s">
        <v>208</v>
      </c>
      <c r="AQ597" t="s">
        <v>209</v>
      </c>
      <c r="AR597" t="s">
        <v>210</v>
      </c>
      <c r="AW597" t="s">
        <v>206</v>
      </c>
      <c r="AX597" t="s">
        <v>211</v>
      </c>
      <c r="AZ597" t="s">
        <v>209</v>
      </c>
      <c r="BI597" t="s">
        <v>212</v>
      </c>
      <c r="BJ597" t="s">
        <v>213</v>
      </c>
      <c r="BK597" t="s">
        <v>214</v>
      </c>
      <c r="BL597" t="s">
        <v>215</v>
      </c>
      <c r="BN597" t="s">
        <v>216</v>
      </c>
      <c r="BO597" t="s">
        <v>209</v>
      </c>
      <c r="BP597" t="s">
        <v>241</v>
      </c>
      <c r="BQ597">
        <v>4</v>
      </c>
      <c r="BS597" t="s">
        <v>219</v>
      </c>
      <c r="BT597" t="s">
        <v>220</v>
      </c>
      <c r="BU597" t="s">
        <v>206</v>
      </c>
      <c r="BX597" t="s">
        <v>221</v>
      </c>
      <c r="BY597" t="s">
        <v>221</v>
      </c>
      <c r="CA597" t="s">
        <v>263</v>
      </c>
      <c r="CB597" t="s">
        <v>223</v>
      </c>
      <c r="CC597" t="s">
        <v>209</v>
      </c>
      <c r="CE597" t="s">
        <v>225</v>
      </c>
      <c r="CF597" t="s">
        <v>226</v>
      </c>
      <c r="CG597" t="s">
        <v>343</v>
      </c>
      <c r="CH597" t="s">
        <v>228</v>
      </c>
      <c r="CI597" t="s">
        <v>1679</v>
      </c>
      <c r="CJ597" t="s">
        <v>206</v>
      </c>
      <c r="CK597" t="s">
        <v>230</v>
      </c>
      <c r="CL597" t="s">
        <v>231</v>
      </c>
      <c r="CM597" t="s">
        <v>232</v>
      </c>
      <c r="CN597" t="s">
        <v>233</v>
      </c>
      <c r="CP597" t="s">
        <v>212</v>
      </c>
      <c r="CQ597" t="s">
        <v>212</v>
      </c>
      <c r="CR597" t="s">
        <v>212</v>
      </c>
      <c r="CS597" t="s">
        <v>212</v>
      </c>
      <c r="CY597" t="s">
        <v>212</v>
      </c>
      <c r="DB597" t="s">
        <v>234</v>
      </c>
      <c r="DE597" t="s">
        <v>212</v>
      </c>
      <c r="DF597" t="s">
        <v>212</v>
      </c>
      <c r="DG597" t="s">
        <v>235</v>
      </c>
      <c r="DH597" t="s">
        <v>212</v>
      </c>
      <c r="DJ597" t="s">
        <v>236</v>
      </c>
      <c r="DM597" t="s">
        <v>212</v>
      </c>
    </row>
    <row r="598" spans="1:117" x14ac:dyDescent="0.3">
      <c r="A598">
        <v>342316</v>
      </c>
      <c r="B598">
        <v>309449</v>
      </c>
      <c r="C598" t="str">
        <f>"080820554556"</f>
        <v>080820554556</v>
      </c>
      <c r="D598" t="s">
        <v>1680</v>
      </c>
      <c r="E598" t="s">
        <v>819</v>
      </c>
      <c r="F598" t="s">
        <v>558</v>
      </c>
      <c r="G598" s="1">
        <v>39680</v>
      </c>
      <c r="I598" t="s">
        <v>240</v>
      </c>
      <c r="J598" t="s">
        <v>200</v>
      </c>
      <c r="K598" t="s">
        <v>260</v>
      </c>
      <c r="Q598" t="s">
        <v>212</v>
      </c>
      <c r="R598" t="str">
        <f>"АНДОРРА, АКМОЛИНСКАЯ, СТЕПНОГОРСК, 40, 79"</f>
        <v>АНДОРРА, АКМОЛИНСКАЯ, СТЕПНОГОРСК, 40, 79</v>
      </c>
      <c r="S598" t="str">
        <f>"АНДОРРА, АҚМОЛА, СТЕПНОГОР, 40, 79"</f>
        <v>АНДОРРА, АҚМОЛА, СТЕПНОГОР, 40, 79</v>
      </c>
      <c r="T598" t="str">
        <f>"40, 79"</f>
        <v>40, 79</v>
      </c>
      <c r="U598" t="str">
        <f>"40, 79"</f>
        <v>40, 79</v>
      </c>
      <c r="AC598" t="str">
        <f>"2015-09-01T00:00:00"</f>
        <v>2015-09-01T00:00:00</v>
      </c>
      <c r="AD598" t="str">
        <f t="shared" si="21"/>
        <v>1</v>
      </c>
      <c r="AG598" t="s">
        <v>202</v>
      </c>
      <c r="AH598" t="str">
        <f t="shared" si="22"/>
        <v>ckool007@mail.ru</v>
      </c>
      <c r="AI598" t="s">
        <v>203</v>
      </c>
      <c r="AJ598" t="s">
        <v>204</v>
      </c>
      <c r="AK598" t="s">
        <v>205</v>
      </c>
      <c r="AL598" t="s">
        <v>206</v>
      </c>
      <c r="AN598" t="s">
        <v>207</v>
      </c>
      <c r="AO598">
        <v>1</v>
      </c>
      <c r="AP598" t="s">
        <v>208</v>
      </c>
      <c r="AQ598" t="s">
        <v>209</v>
      </c>
      <c r="AR598" t="s">
        <v>210</v>
      </c>
      <c r="AW598" t="s">
        <v>206</v>
      </c>
      <c r="AX598" t="s">
        <v>211</v>
      </c>
      <c r="AZ598" t="s">
        <v>209</v>
      </c>
      <c r="BI598" t="s">
        <v>212</v>
      </c>
      <c r="BJ598" t="s">
        <v>213</v>
      </c>
      <c r="BK598" t="s">
        <v>214</v>
      </c>
      <c r="BL598" t="s">
        <v>215</v>
      </c>
      <c r="BN598" t="s">
        <v>216</v>
      </c>
      <c r="BO598" t="s">
        <v>209</v>
      </c>
      <c r="BP598" t="s">
        <v>241</v>
      </c>
      <c r="BQ598">
        <v>4</v>
      </c>
      <c r="BS598" t="s">
        <v>219</v>
      </c>
      <c r="BT598" t="s">
        <v>220</v>
      </c>
      <c r="BU598" t="s">
        <v>206</v>
      </c>
      <c r="BX598" t="s">
        <v>221</v>
      </c>
      <c r="BY598" t="s">
        <v>221</v>
      </c>
      <c r="CA598" t="s">
        <v>222</v>
      </c>
      <c r="CB598" t="s">
        <v>223</v>
      </c>
      <c r="CC598" t="s">
        <v>209</v>
      </c>
      <c r="CE598" t="s">
        <v>225</v>
      </c>
      <c r="CF598" t="s">
        <v>226</v>
      </c>
      <c r="CG598" t="s">
        <v>343</v>
      </c>
      <c r="CH598" t="s">
        <v>228</v>
      </c>
      <c r="CI598" t="s">
        <v>1681</v>
      </c>
      <c r="CJ598" t="s">
        <v>206</v>
      </c>
      <c r="CK598" t="s">
        <v>230</v>
      </c>
      <c r="CL598" t="s">
        <v>231</v>
      </c>
      <c r="CM598" t="s">
        <v>232</v>
      </c>
      <c r="CN598" t="s">
        <v>233</v>
      </c>
      <c r="CP598" t="s">
        <v>212</v>
      </c>
      <c r="CQ598" t="s">
        <v>212</v>
      </c>
      <c r="CR598" t="s">
        <v>212</v>
      </c>
      <c r="CS598" t="s">
        <v>212</v>
      </c>
      <c r="CY598" t="s">
        <v>212</v>
      </c>
      <c r="DB598" t="s">
        <v>234</v>
      </c>
      <c r="DE598" t="s">
        <v>212</v>
      </c>
      <c r="DF598" t="s">
        <v>212</v>
      </c>
      <c r="DG598" t="s">
        <v>235</v>
      </c>
      <c r="DH598" t="s">
        <v>212</v>
      </c>
      <c r="DJ598" t="s">
        <v>236</v>
      </c>
      <c r="DM598" t="s">
        <v>212</v>
      </c>
    </row>
    <row r="599" spans="1:117" x14ac:dyDescent="0.3">
      <c r="A599">
        <v>342180</v>
      </c>
      <c r="B599">
        <v>309349</v>
      </c>
      <c r="C599" t="str">
        <f>"080617555316"</f>
        <v>080617555316</v>
      </c>
      <c r="D599" t="s">
        <v>1682</v>
      </c>
      <c r="E599" t="s">
        <v>520</v>
      </c>
      <c r="F599" t="s">
        <v>1683</v>
      </c>
      <c r="G599" s="1">
        <v>39616</v>
      </c>
      <c r="I599" t="s">
        <v>240</v>
      </c>
      <c r="J599" t="s">
        <v>200</v>
      </c>
      <c r="K599" t="s">
        <v>260</v>
      </c>
      <c r="R599" t="str">
        <f>"АНДОРРА, АКМОЛИНСКАЯ, СТЕПНОГОРСК, 18, 801"</f>
        <v>АНДОРРА, АКМОЛИНСКАЯ, СТЕПНОГОРСК, 18, 801</v>
      </c>
      <c r="S599" t="str">
        <f>"АНДОРРА, АҚМОЛА, СТЕПНОГОР, 18, 801"</f>
        <v>АНДОРРА, АҚМОЛА, СТЕПНОГОР, 18, 801</v>
      </c>
      <c r="T599" t="str">
        <f>"18, 801"</f>
        <v>18, 801</v>
      </c>
      <c r="U599" t="str">
        <f>"18, 801"</f>
        <v>18, 801</v>
      </c>
      <c r="AC599" t="str">
        <f>"2016-11-10T00:00:00"</f>
        <v>2016-11-10T00:00:00</v>
      </c>
      <c r="AD599" t="str">
        <f>"31"</f>
        <v>31</v>
      </c>
      <c r="AG599" t="s">
        <v>202</v>
      </c>
      <c r="AH599" t="str">
        <f t="shared" si="22"/>
        <v>ckool007@mail.ru</v>
      </c>
      <c r="AI599" t="s">
        <v>203</v>
      </c>
      <c r="AJ599" t="s">
        <v>204</v>
      </c>
      <c r="AK599" t="s">
        <v>261</v>
      </c>
      <c r="AL599" t="s">
        <v>206</v>
      </c>
      <c r="AN599" t="s">
        <v>207</v>
      </c>
      <c r="AO599">
        <v>1</v>
      </c>
      <c r="AP599" t="s">
        <v>208</v>
      </c>
      <c r="AQ599" t="s">
        <v>209</v>
      </c>
      <c r="AR599" t="s">
        <v>210</v>
      </c>
      <c r="AW599" t="s">
        <v>206</v>
      </c>
      <c r="AX599" t="s">
        <v>211</v>
      </c>
      <c r="AZ599" t="s">
        <v>209</v>
      </c>
      <c r="BI599" t="s">
        <v>212</v>
      </c>
      <c r="BJ599" t="s">
        <v>213</v>
      </c>
      <c r="BK599" t="s">
        <v>214</v>
      </c>
      <c r="BL599" t="s">
        <v>215</v>
      </c>
      <c r="BN599" t="s">
        <v>247</v>
      </c>
      <c r="BO599" t="s">
        <v>209</v>
      </c>
      <c r="BP599" t="s">
        <v>217</v>
      </c>
      <c r="BQ599" t="s">
        <v>248</v>
      </c>
      <c r="BS599" t="s">
        <v>219</v>
      </c>
      <c r="BT599" t="s">
        <v>220</v>
      </c>
      <c r="BU599" t="s">
        <v>206</v>
      </c>
      <c r="BX599" t="s">
        <v>221</v>
      </c>
      <c r="BY599" t="s">
        <v>221</v>
      </c>
      <c r="CA599" t="s">
        <v>263</v>
      </c>
      <c r="CB599" t="s">
        <v>223</v>
      </c>
      <c r="CC599" t="s">
        <v>209</v>
      </c>
      <c r="CE599" t="s">
        <v>242</v>
      </c>
      <c r="CJ599" t="s">
        <v>206</v>
      </c>
      <c r="CK599" t="s">
        <v>230</v>
      </c>
      <c r="CL599" t="s">
        <v>231</v>
      </c>
      <c r="CM599" t="s">
        <v>232</v>
      </c>
      <c r="CN599" t="s">
        <v>233</v>
      </c>
      <c r="CP599" t="s">
        <v>212</v>
      </c>
      <c r="CQ599" t="s">
        <v>212</v>
      </c>
      <c r="CR599" t="s">
        <v>212</v>
      </c>
      <c r="CS599" t="s">
        <v>212</v>
      </c>
      <c r="CY599" t="s">
        <v>212</v>
      </c>
      <c r="DB599" t="s">
        <v>234</v>
      </c>
      <c r="DE599" t="s">
        <v>212</v>
      </c>
      <c r="DF599" t="s">
        <v>212</v>
      </c>
      <c r="DG599" t="s">
        <v>235</v>
      </c>
      <c r="DH599" t="s">
        <v>212</v>
      </c>
      <c r="DJ599" t="s">
        <v>236</v>
      </c>
      <c r="DM599" t="s">
        <v>212</v>
      </c>
    </row>
    <row r="600" spans="1:117" x14ac:dyDescent="0.3">
      <c r="A600">
        <v>342165</v>
      </c>
      <c r="B600">
        <v>309329</v>
      </c>
      <c r="C600" t="str">
        <f>"071217553524"</f>
        <v>071217553524</v>
      </c>
      <c r="D600" t="s">
        <v>1684</v>
      </c>
      <c r="E600" t="s">
        <v>520</v>
      </c>
      <c r="F600" t="s">
        <v>1092</v>
      </c>
      <c r="G600" s="1">
        <v>39433</v>
      </c>
      <c r="I600" t="s">
        <v>240</v>
      </c>
      <c r="J600" t="s">
        <v>200</v>
      </c>
      <c r="K600" t="s">
        <v>268</v>
      </c>
      <c r="R600" t="str">
        <f>"КАЗАХСТАН, АКМОЛИНСКАЯ, СТЕПНОГОРСК, 29, 15"</f>
        <v>КАЗАХСТАН, АКМОЛИНСКАЯ, СТЕПНОГОРСК, 29, 15</v>
      </c>
      <c r="S600" t="str">
        <f>"ҚАЗАҚСТАН, АҚМОЛА, СТЕПНОГОР, 29, 15"</f>
        <v>ҚАЗАҚСТАН, АҚМОЛА, СТЕПНОГОР, 29, 15</v>
      </c>
      <c r="T600" t="str">
        <f>"29, 15"</f>
        <v>29, 15</v>
      </c>
      <c r="U600" t="str">
        <f>"29, 15"</f>
        <v>29, 15</v>
      </c>
      <c r="AC600" t="str">
        <f>"2015-09-01T00:00:00"</f>
        <v>2015-09-01T00:00:00</v>
      </c>
      <c r="AD600" t="str">
        <f t="shared" ref="AD600:AD610" si="23">"1"</f>
        <v>1</v>
      </c>
      <c r="AG600" t="s">
        <v>202</v>
      </c>
      <c r="AH600" t="str">
        <f t="shared" si="22"/>
        <v>ckool007@mail.ru</v>
      </c>
      <c r="AI600" t="s">
        <v>203</v>
      </c>
      <c r="AJ600" t="s">
        <v>204</v>
      </c>
      <c r="AK600" t="s">
        <v>246</v>
      </c>
      <c r="AL600" t="s">
        <v>206</v>
      </c>
      <c r="AN600" t="s">
        <v>207</v>
      </c>
      <c r="AO600">
        <v>1</v>
      </c>
      <c r="AP600" t="s">
        <v>208</v>
      </c>
      <c r="AQ600" t="s">
        <v>209</v>
      </c>
      <c r="AR600" t="s">
        <v>210</v>
      </c>
      <c r="AW600" t="s">
        <v>206</v>
      </c>
      <c r="AX600" t="s">
        <v>211</v>
      </c>
      <c r="AZ600" t="s">
        <v>209</v>
      </c>
      <c r="BI600" t="s">
        <v>212</v>
      </c>
      <c r="BJ600" t="s">
        <v>213</v>
      </c>
      <c r="BK600" t="s">
        <v>214</v>
      </c>
      <c r="BL600" t="s">
        <v>215</v>
      </c>
      <c r="BN600" t="s">
        <v>281</v>
      </c>
      <c r="BO600" t="s">
        <v>209</v>
      </c>
      <c r="BP600" t="s">
        <v>241</v>
      </c>
      <c r="BQ600">
        <v>5</v>
      </c>
      <c r="BS600" t="s">
        <v>219</v>
      </c>
      <c r="BT600" t="s">
        <v>220</v>
      </c>
      <c r="BU600" t="s">
        <v>206</v>
      </c>
      <c r="BX600" t="s">
        <v>234</v>
      </c>
      <c r="BY600" t="s">
        <v>234</v>
      </c>
      <c r="CA600" t="s">
        <v>222</v>
      </c>
      <c r="CB600" t="s">
        <v>223</v>
      </c>
      <c r="CC600" t="s">
        <v>222</v>
      </c>
      <c r="CD600" t="s">
        <v>223</v>
      </c>
      <c r="CE600" t="s">
        <v>225</v>
      </c>
      <c r="CF600" t="s">
        <v>226</v>
      </c>
      <c r="CG600" t="s">
        <v>227</v>
      </c>
      <c r="CH600" t="s">
        <v>209</v>
      </c>
      <c r="CI600" t="s">
        <v>1685</v>
      </c>
      <c r="CJ600" t="s">
        <v>206</v>
      </c>
      <c r="CK600" t="s">
        <v>230</v>
      </c>
      <c r="CL600" t="s">
        <v>231</v>
      </c>
      <c r="CM600" t="s">
        <v>232</v>
      </c>
      <c r="CN600" t="s">
        <v>233</v>
      </c>
      <c r="CP600" t="s">
        <v>212</v>
      </c>
      <c r="CQ600" t="s">
        <v>212</v>
      </c>
      <c r="CR600" t="s">
        <v>212</v>
      </c>
      <c r="CS600" t="s">
        <v>212</v>
      </c>
      <c r="CY600" t="s">
        <v>212</v>
      </c>
      <c r="DB600" t="s">
        <v>234</v>
      </c>
      <c r="DE600" t="s">
        <v>212</v>
      </c>
      <c r="DF600" t="s">
        <v>212</v>
      </c>
      <c r="DG600" t="s">
        <v>235</v>
      </c>
      <c r="DH600" t="s">
        <v>212</v>
      </c>
      <c r="DJ600" t="s">
        <v>236</v>
      </c>
      <c r="DM600" t="s">
        <v>212</v>
      </c>
    </row>
    <row r="601" spans="1:117" x14ac:dyDescent="0.3">
      <c r="A601">
        <v>342135</v>
      </c>
      <c r="B601">
        <v>309304</v>
      </c>
      <c r="C601" t="str">
        <f>"090316650684"</f>
        <v>090316650684</v>
      </c>
      <c r="D601" t="s">
        <v>1686</v>
      </c>
      <c r="E601" t="s">
        <v>931</v>
      </c>
      <c r="F601" t="s">
        <v>551</v>
      </c>
      <c r="G601" s="1">
        <v>39888</v>
      </c>
      <c r="I601" t="s">
        <v>199</v>
      </c>
      <c r="J601" t="s">
        <v>200</v>
      </c>
      <c r="K601" t="s">
        <v>201</v>
      </c>
      <c r="Q601" t="s">
        <v>212</v>
      </c>
      <c r="R601" t="str">
        <f>"АНДОРРА, ПАВЛОДАРСКАЯ, АКТОГАЙСКИЙ РАЙОН, ШОЛАҚСОР, -, -"</f>
        <v>АНДОРРА, ПАВЛОДАРСКАЯ, АКТОГАЙСКИЙ РАЙОН, ШОЛАҚСОР, -, -</v>
      </c>
      <c r="S601" t="str">
        <f>"АНДОРРА, ПАВЛОДАР, АҚТОҒАЙ АУДАНЫ, ШОЛАҚСОР, -, -"</f>
        <v>АНДОРРА, ПАВЛОДАР, АҚТОҒАЙ АУДАНЫ, ШОЛАҚСОР, -, -</v>
      </c>
      <c r="T601" t="str">
        <f>"ШОЛАҚСОР, -, -"</f>
        <v>ШОЛАҚСОР, -, -</v>
      </c>
      <c r="U601" t="str">
        <f>"ШОЛАҚСОР, -, -"</f>
        <v>ШОЛАҚСОР, -, -</v>
      </c>
      <c r="AC601" t="str">
        <f>"2016-09-01T00:00:00"</f>
        <v>2016-09-01T00:00:00</v>
      </c>
      <c r="AD601" t="str">
        <f t="shared" si="23"/>
        <v>1</v>
      </c>
      <c r="AG601" t="s">
        <v>646</v>
      </c>
      <c r="AH601" t="str">
        <f t="shared" si="22"/>
        <v>ckool007@mail.ru</v>
      </c>
      <c r="AI601" t="s">
        <v>203</v>
      </c>
      <c r="AJ601" t="s">
        <v>204</v>
      </c>
      <c r="AK601" t="s">
        <v>205</v>
      </c>
      <c r="AL601" t="s">
        <v>206</v>
      </c>
      <c r="AN601" t="s">
        <v>207</v>
      </c>
      <c r="AO601">
        <v>1</v>
      </c>
      <c r="AP601" t="s">
        <v>208</v>
      </c>
      <c r="AQ601" t="s">
        <v>209</v>
      </c>
      <c r="AR601" t="s">
        <v>210</v>
      </c>
      <c r="AW601" t="s">
        <v>206</v>
      </c>
      <c r="AX601" t="s">
        <v>211</v>
      </c>
      <c r="AZ601" t="s">
        <v>209</v>
      </c>
      <c r="BI601" t="s">
        <v>212</v>
      </c>
      <c r="BJ601" t="s">
        <v>213</v>
      </c>
      <c r="BK601" t="s">
        <v>214</v>
      </c>
      <c r="BL601" t="s">
        <v>215</v>
      </c>
      <c r="BN601" t="s">
        <v>216</v>
      </c>
      <c r="BO601" t="s">
        <v>209</v>
      </c>
      <c r="BP601" t="s">
        <v>241</v>
      </c>
      <c r="BQ601">
        <v>4</v>
      </c>
      <c r="BS601" t="s">
        <v>219</v>
      </c>
      <c r="BT601" t="s">
        <v>220</v>
      </c>
      <c r="BU601" t="s">
        <v>206</v>
      </c>
      <c r="BX601" t="s">
        <v>221</v>
      </c>
      <c r="BY601" t="s">
        <v>221</v>
      </c>
      <c r="CA601" t="s">
        <v>222</v>
      </c>
      <c r="CB601" t="s">
        <v>223</v>
      </c>
      <c r="CC601" t="s">
        <v>209</v>
      </c>
      <c r="CE601" t="s">
        <v>225</v>
      </c>
      <c r="CF601" t="s">
        <v>226</v>
      </c>
      <c r="CG601" t="s">
        <v>227</v>
      </c>
      <c r="CH601" t="s">
        <v>209</v>
      </c>
      <c r="CI601" t="s">
        <v>1687</v>
      </c>
      <c r="CJ601" t="s">
        <v>206</v>
      </c>
      <c r="CK601" t="s">
        <v>230</v>
      </c>
      <c r="CL601" t="s">
        <v>231</v>
      </c>
      <c r="CM601" t="s">
        <v>232</v>
      </c>
      <c r="CN601" t="s">
        <v>233</v>
      </c>
      <c r="CP601" t="s">
        <v>212</v>
      </c>
      <c r="CQ601" t="s">
        <v>212</v>
      </c>
      <c r="CR601" t="s">
        <v>212</v>
      </c>
      <c r="CS601" t="s">
        <v>212</v>
      </c>
      <c r="CY601" t="s">
        <v>212</v>
      </c>
      <c r="DB601" t="s">
        <v>234</v>
      </c>
      <c r="DE601" t="s">
        <v>212</v>
      </c>
      <c r="DF601" t="s">
        <v>212</v>
      </c>
      <c r="DG601" t="s">
        <v>235</v>
      </c>
      <c r="DH601" t="s">
        <v>212</v>
      </c>
      <c r="DJ601" t="s">
        <v>236</v>
      </c>
      <c r="DM601" t="s">
        <v>212</v>
      </c>
    </row>
    <row r="602" spans="1:117" x14ac:dyDescent="0.3">
      <c r="A602">
        <v>342017</v>
      </c>
      <c r="B602">
        <v>309216</v>
      </c>
      <c r="C602" t="str">
        <f>"091011551918"</f>
        <v>091011551918</v>
      </c>
      <c r="D602" t="s">
        <v>1688</v>
      </c>
      <c r="E602" t="s">
        <v>1689</v>
      </c>
      <c r="F602" t="s">
        <v>1690</v>
      </c>
      <c r="G602" s="1">
        <v>40097</v>
      </c>
      <c r="I602" t="s">
        <v>240</v>
      </c>
      <c r="J602" t="s">
        <v>200</v>
      </c>
      <c r="K602" t="s">
        <v>260</v>
      </c>
      <c r="R602" t="str">
        <f>"АНДОРРА, АКМОЛИНСКАЯ, СТЕПНОГОРСК, 49, 36"</f>
        <v>АНДОРРА, АКМОЛИНСКАЯ, СТЕПНОГОРСК, 49, 36</v>
      </c>
      <c r="S602" t="str">
        <f>"АНДОРРА, АҚМОЛА, СТЕПНОГОР, 49, 36"</f>
        <v>АНДОРРА, АҚМОЛА, СТЕПНОГОР, 49, 36</v>
      </c>
      <c r="T602" t="str">
        <f>"49, 36"</f>
        <v>49, 36</v>
      </c>
      <c r="U602" t="str">
        <f>"49, 36"</f>
        <v>49, 36</v>
      </c>
      <c r="AC602" t="str">
        <f>"2016-09-01T00:00:00"</f>
        <v>2016-09-01T00:00:00</v>
      </c>
      <c r="AD602" t="str">
        <f t="shared" si="23"/>
        <v>1</v>
      </c>
      <c r="AG602" t="s">
        <v>202</v>
      </c>
      <c r="AH602" t="str">
        <f t="shared" si="22"/>
        <v>ckool007@mail.ru</v>
      </c>
      <c r="AI602" t="s">
        <v>203</v>
      </c>
      <c r="AJ602" t="s">
        <v>286</v>
      </c>
      <c r="AK602" t="s">
        <v>205</v>
      </c>
      <c r="AL602" t="s">
        <v>206</v>
      </c>
      <c r="AN602" t="s">
        <v>207</v>
      </c>
      <c r="AO602">
        <v>1</v>
      </c>
      <c r="AP602" t="s">
        <v>208</v>
      </c>
      <c r="AQ602" t="s">
        <v>209</v>
      </c>
      <c r="AR602" t="s">
        <v>210</v>
      </c>
      <c r="AW602" t="s">
        <v>206</v>
      </c>
      <c r="AX602" t="s">
        <v>211</v>
      </c>
      <c r="AZ602" t="s">
        <v>209</v>
      </c>
      <c r="BI602" t="s">
        <v>212</v>
      </c>
      <c r="BJ602" t="s">
        <v>213</v>
      </c>
      <c r="BK602" t="s">
        <v>214</v>
      </c>
      <c r="BL602" t="s">
        <v>215</v>
      </c>
      <c r="BN602" t="s">
        <v>216</v>
      </c>
      <c r="BO602" t="s">
        <v>209</v>
      </c>
      <c r="BP602" t="s">
        <v>217</v>
      </c>
      <c r="BQ602" t="s">
        <v>218</v>
      </c>
      <c r="BS602" t="s">
        <v>219</v>
      </c>
      <c r="BT602" t="s">
        <v>220</v>
      </c>
      <c r="BU602" t="s">
        <v>206</v>
      </c>
      <c r="BX602" t="s">
        <v>221</v>
      </c>
      <c r="BY602" t="s">
        <v>221</v>
      </c>
      <c r="CA602" t="s">
        <v>287</v>
      </c>
      <c r="CC602" t="s">
        <v>209</v>
      </c>
      <c r="CE602" t="s">
        <v>225</v>
      </c>
      <c r="CF602" t="s">
        <v>226</v>
      </c>
      <c r="CG602" t="s">
        <v>343</v>
      </c>
      <c r="CH602" t="s">
        <v>228</v>
      </c>
      <c r="CI602" t="s">
        <v>1691</v>
      </c>
      <c r="CJ602" t="s">
        <v>206</v>
      </c>
      <c r="CK602" t="s">
        <v>230</v>
      </c>
      <c r="CL602" t="s">
        <v>231</v>
      </c>
      <c r="CM602" t="s">
        <v>232</v>
      </c>
      <c r="CN602" t="s">
        <v>233</v>
      </c>
      <c r="CP602" t="s">
        <v>212</v>
      </c>
      <c r="CQ602" t="s">
        <v>212</v>
      </c>
      <c r="CR602" t="s">
        <v>212</v>
      </c>
      <c r="CS602" t="s">
        <v>212</v>
      </c>
      <c r="CY602" t="s">
        <v>212</v>
      </c>
      <c r="DB602" t="s">
        <v>234</v>
      </c>
      <c r="DE602" t="s">
        <v>212</v>
      </c>
      <c r="DF602" t="s">
        <v>212</v>
      </c>
      <c r="DG602" t="s">
        <v>235</v>
      </c>
      <c r="DH602" t="s">
        <v>212</v>
      </c>
      <c r="DJ602" t="s">
        <v>236</v>
      </c>
      <c r="DM602" t="s">
        <v>212</v>
      </c>
    </row>
    <row r="603" spans="1:117" x14ac:dyDescent="0.3">
      <c r="A603">
        <v>341998</v>
      </c>
      <c r="B603">
        <v>309195</v>
      </c>
      <c r="C603" t="str">
        <f>"090410550410"</f>
        <v>090410550410</v>
      </c>
      <c r="D603" t="s">
        <v>1692</v>
      </c>
      <c r="E603" t="s">
        <v>1693</v>
      </c>
      <c r="F603" t="s">
        <v>558</v>
      </c>
      <c r="G603" s="1">
        <v>39913</v>
      </c>
      <c r="I603" t="s">
        <v>240</v>
      </c>
      <c r="J603" t="s">
        <v>200</v>
      </c>
      <c r="K603" t="s">
        <v>260</v>
      </c>
      <c r="R603" t="str">
        <f>"КАЗАХСТАН, АКМОЛИНСКАЯ, СТЕПНОГОРСК, 21, 15"</f>
        <v>КАЗАХСТАН, АКМОЛИНСКАЯ, СТЕПНОГОРСК, 21, 15</v>
      </c>
      <c r="S603" t="str">
        <f>"ҚАЗАҚСТАН, АҚМОЛА, СТЕПНОГОР, 21, 15"</f>
        <v>ҚАЗАҚСТАН, АҚМОЛА, СТЕПНОГОР, 21, 15</v>
      </c>
      <c r="T603" t="str">
        <f>"21, 15"</f>
        <v>21, 15</v>
      </c>
      <c r="U603" t="str">
        <f>"21, 15"</f>
        <v>21, 15</v>
      </c>
      <c r="AC603" t="str">
        <f>"2016-09-01T00:00:00"</f>
        <v>2016-09-01T00:00:00</v>
      </c>
      <c r="AD603" t="str">
        <f t="shared" si="23"/>
        <v>1</v>
      </c>
      <c r="AG603" t="s">
        <v>202</v>
      </c>
      <c r="AH603" t="str">
        <f>"nikolai@mail.ru"</f>
        <v>nikolai@mail.ru</v>
      </c>
      <c r="AI603" t="s">
        <v>203</v>
      </c>
      <c r="AJ603" t="s">
        <v>286</v>
      </c>
      <c r="AK603" t="s">
        <v>205</v>
      </c>
      <c r="AL603" t="s">
        <v>206</v>
      </c>
      <c r="AN603" t="s">
        <v>207</v>
      </c>
      <c r="AO603">
        <v>1</v>
      </c>
      <c r="AP603" t="s">
        <v>208</v>
      </c>
      <c r="AQ603" t="s">
        <v>209</v>
      </c>
      <c r="AR603" t="s">
        <v>210</v>
      </c>
      <c r="AW603" t="s">
        <v>206</v>
      </c>
      <c r="AX603" t="s">
        <v>211</v>
      </c>
      <c r="AZ603" t="s">
        <v>209</v>
      </c>
      <c r="BI603" t="s">
        <v>212</v>
      </c>
      <c r="BJ603" t="s">
        <v>213</v>
      </c>
      <c r="BK603" t="s">
        <v>214</v>
      </c>
      <c r="BL603" t="s">
        <v>215</v>
      </c>
      <c r="BN603" t="s">
        <v>216</v>
      </c>
      <c r="BO603" t="s">
        <v>209</v>
      </c>
      <c r="BP603" t="s">
        <v>241</v>
      </c>
      <c r="BQ603">
        <v>4</v>
      </c>
      <c r="BS603" t="s">
        <v>219</v>
      </c>
      <c r="BT603" t="s">
        <v>220</v>
      </c>
      <c r="BU603" t="s">
        <v>206</v>
      </c>
      <c r="BX603" t="s">
        <v>221</v>
      </c>
      <c r="BY603" t="s">
        <v>221</v>
      </c>
      <c r="CA603" t="s">
        <v>287</v>
      </c>
      <c r="CC603" t="s">
        <v>353</v>
      </c>
      <c r="CD603" t="s">
        <v>223</v>
      </c>
      <c r="CE603" t="s">
        <v>242</v>
      </c>
      <c r="CJ603" t="s">
        <v>206</v>
      </c>
      <c r="CK603" t="s">
        <v>230</v>
      </c>
      <c r="CL603" t="s">
        <v>231</v>
      </c>
      <c r="CM603" t="s">
        <v>232</v>
      </c>
      <c r="CN603" t="s">
        <v>233</v>
      </c>
      <c r="CP603" t="s">
        <v>212</v>
      </c>
      <c r="CQ603" t="s">
        <v>212</v>
      </c>
      <c r="CR603" t="s">
        <v>212</v>
      </c>
      <c r="CS603" t="s">
        <v>212</v>
      </c>
      <c r="CY603" t="s">
        <v>212</v>
      </c>
      <c r="DB603" t="s">
        <v>234</v>
      </c>
      <c r="DE603" t="s">
        <v>212</v>
      </c>
      <c r="DF603" t="s">
        <v>212</v>
      </c>
      <c r="DG603" t="s">
        <v>235</v>
      </c>
      <c r="DH603" t="s">
        <v>212</v>
      </c>
      <c r="DJ603" t="s">
        <v>236</v>
      </c>
      <c r="DM603" t="s">
        <v>212</v>
      </c>
    </row>
    <row r="604" spans="1:117" x14ac:dyDescent="0.3">
      <c r="A604">
        <v>341830</v>
      </c>
      <c r="B604">
        <v>309050</v>
      </c>
      <c r="C604" t="str">
        <f>"080402650104"</f>
        <v>080402650104</v>
      </c>
      <c r="D604" t="s">
        <v>1694</v>
      </c>
      <c r="E604" t="s">
        <v>347</v>
      </c>
      <c r="F604" t="s">
        <v>400</v>
      </c>
      <c r="G604" s="1">
        <v>39540</v>
      </c>
      <c r="I604" t="s">
        <v>199</v>
      </c>
      <c r="J604" t="s">
        <v>200</v>
      </c>
      <c r="K604" t="s">
        <v>260</v>
      </c>
      <c r="Q604" t="s">
        <v>212</v>
      </c>
      <c r="R604" t="str">
        <f>"АНДОРРА, АКМОЛИНСКАЯ, СТЕПНОГОРСК, 27, 48"</f>
        <v>АНДОРРА, АКМОЛИНСКАЯ, СТЕПНОГОРСК, 27, 48</v>
      </c>
      <c r="S604" t="str">
        <f>"АНДОРРА, АҚМОЛА, СТЕПНОГОР, 27, 48"</f>
        <v>АНДОРРА, АҚМОЛА, СТЕПНОГОР, 27, 48</v>
      </c>
      <c r="T604" t="str">
        <f>"27, 48"</f>
        <v>27, 48</v>
      </c>
      <c r="U604" t="str">
        <f>"27, 48"</f>
        <v>27, 48</v>
      </c>
      <c r="AC604" t="str">
        <f>"2015-09-01T00:00:00"</f>
        <v>2015-09-01T00:00:00</v>
      </c>
      <c r="AD604" t="str">
        <f t="shared" si="23"/>
        <v>1</v>
      </c>
      <c r="AG604" t="s">
        <v>202</v>
      </c>
      <c r="AH604" t="str">
        <f t="shared" ref="AH604:AH610" si="24">"ckool007@mail.ru"</f>
        <v>ckool007@mail.ru</v>
      </c>
      <c r="AI604" t="s">
        <v>203</v>
      </c>
      <c r="AJ604" t="s">
        <v>204</v>
      </c>
      <c r="AK604" t="s">
        <v>205</v>
      </c>
      <c r="AL604" t="s">
        <v>206</v>
      </c>
      <c r="AN604" t="s">
        <v>207</v>
      </c>
      <c r="AO604">
        <v>1</v>
      </c>
      <c r="AP604" t="s">
        <v>208</v>
      </c>
      <c r="AQ604" t="s">
        <v>209</v>
      </c>
      <c r="AR604" t="s">
        <v>307</v>
      </c>
      <c r="AW604" t="s">
        <v>206</v>
      </c>
      <c r="AX604" t="s">
        <v>211</v>
      </c>
      <c r="AZ604" t="s">
        <v>209</v>
      </c>
      <c r="BI604" t="s">
        <v>212</v>
      </c>
      <c r="BJ604" t="s">
        <v>213</v>
      </c>
      <c r="BK604" t="s">
        <v>214</v>
      </c>
      <c r="BL604" t="s">
        <v>215</v>
      </c>
      <c r="BN604" t="s">
        <v>216</v>
      </c>
      <c r="BO604" t="s">
        <v>209</v>
      </c>
      <c r="BP604" t="s">
        <v>241</v>
      </c>
      <c r="BQ604">
        <v>4</v>
      </c>
      <c r="BS604" t="s">
        <v>219</v>
      </c>
      <c r="BT604" t="s">
        <v>220</v>
      </c>
      <c r="BU604" t="s">
        <v>206</v>
      </c>
      <c r="BX604" t="s">
        <v>221</v>
      </c>
      <c r="BY604" t="s">
        <v>221</v>
      </c>
      <c r="CA604" t="s">
        <v>222</v>
      </c>
      <c r="CB604" t="s">
        <v>223</v>
      </c>
      <c r="CC604" t="s">
        <v>209</v>
      </c>
      <c r="CE604" t="s">
        <v>242</v>
      </c>
      <c r="CJ604" t="s">
        <v>206</v>
      </c>
      <c r="CK604" t="s">
        <v>230</v>
      </c>
      <c r="CL604" t="s">
        <v>231</v>
      </c>
      <c r="CM604" t="s">
        <v>232</v>
      </c>
      <c r="CN604" t="s">
        <v>233</v>
      </c>
      <c r="CP604" t="s">
        <v>212</v>
      </c>
      <c r="CQ604" t="s">
        <v>212</v>
      </c>
      <c r="CR604" t="s">
        <v>212</v>
      </c>
      <c r="CS604" t="s">
        <v>212</v>
      </c>
      <c r="CY604" t="s">
        <v>212</v>
      </c>
      <c r="DB604" t="s">
        <v>234</v>
      </c>
      <c r="DE604" t="s">
        <v>212</v>
      </c>
      <c r="DF604" t="s">
        <v>212</v>
      </c>
      <c r="DG604" t="s">
        <v>235</v>
      </c>
      <c r="DH604" t="s">
        <v>212</v>
      </c>
      <c r="DJ604" t="s">
        <v>236</v>
      </c>
      <c r="DM604" t="s">
        <v>212</v>
      </c>
    </row>
    <row r="605" spans="1:117" x14ac:dyDescent="0.3">
      <c r="A605">
        <v>341768</v>
      </c>
      <c r="B605">
        <v>308999</v>
      </c>
      <c r="C605" t="str">
        <f>"090309551935"</f>
        <v>090309551935</v>
      </c>
      <c r="D605" t="s">
        <v>1695</v>
      </c>
      <c r="E605" t="s">
        <v>432</v>
      </c>
      <c r="F605" t="s">
        <v>1696</v>
      </c>
      <c r="G605" s="1">
        <v>39881</v>
      </c>
      <c r="I605" t="s">
        <v>240</v>
      </c>
      <c r="J605" t="s">
        <v>200</v>
      </c>
      <c r="K605" t="s">
        <v>201</v>
      </c>
      <c r="R605" t="str">
        <f>"АНДОРРА, АКМОЛИНСКАЯ, СТЕПНОГОРСК, 21, 28"</f>
        <v>АНДОРРА, АКМОЛИНСКАЯ, СТЕПНОГОРСК, 21, 28</v>
      </c>
      <c r="S605" t="str">
        <f>"АНДОРРА, АҚМОЛА, СТЕПНОГОР, 21, 28"</f>
        <v>АНДОРРА, АҚМОЛА, СТЕПНОГОР, 21, 28</v>
      </c>
      <c r="T605" t="str">
        <f>"21, 28"</f>
        <v>21, 28</v>
      </c>
      <c r="U605" t="str">
        <f>"21, 28"</f>
        <v>21, 28</v>
      </c>
      <c r="AC605" t="str">
        <f>"2015-09-01T00:00:00"</f>
        <v>2015-09-01T00:00:00</v>
      </c>
      <c r="AD605" t="str">
        <f t="shared" si="23"/>
        <v>1</v>
      </c>
      <c r="AG605" t="s">
        <v>202</v>
      </c>
      <c r="AH605" t="str">
        <f t="shared" si="24"/>
        <v>ckool007@mail.ru</v>
      </c>
      <c r="AI605" t="s">
        <v>203</v>
      </c>
      <c r="AJ605" t="s">
        <v>286</v>
      </c>
      <c r="AK605" t="s">
        <v>205</v>
      </c>
      <c r="AL605" t="s">
        <v>206</v>
      </c>
      <c r="AN605" t="s">
        <v>207</v>
      </c>
      <c r="AO605">
        <v>1</v>
      </c>
      <c r="AP605" t="s">
        <v>208</v>
      </c>
      <c r="AQ605" t="s">
        <v>209</v>
      </c>
      <c r="AR605" t="s">
        <v>210</v>
      </c>
      <c r="AW605" t="s">
        <v>206</v>
      </c>
      <c r="AX605" t="s">
        <v>211</v>
      </c>
      <c r="AZ605" t="s">
        <v>209</v>
      </c>
      <c r="BI605" t="s">
        <v>212</v>
      </c>
      <c r="BJ605" t="s">
        <v>213</v>
      </c>
      <c r="BK605" t="s">
        <v>214</v>
      </c>
      <c r="BL605" t="s">
        <v>215</v>
      </c>
      <c r="BN605" t="s">
        <v>216</v>
      </c>
      <c r="BO605" t="s">
        <v>209</v>
      </c>
      <c r="BP605" t="s">
        <v>241</v>
      </c>
      <c r="BQ605">
        <v>4</v>
      </c>
      <c r="BS605" t="s">
        <v>219</v>
      </c>
      <c r="BT605" t="s">
        <v>220</v>
      </c>
      <c r="BU605" t="s">
        <v>206</v>
      </c>
      <c r="BX605" t="s">
        <v>221</v>
      </c>
      <c r="BY605" t="s">
        <v>221</v>
      </c>
      <c r="CA605" t="s">
        <v>287</v>
      </c>
      <c r="CC605" t="s">
        <v>222</v>
      </c>
      <c r="CD605" t="s">
        <v>223</v>
      </c>
      <c r="CE605" t="s">
        <v>225</v>
      </c>
      <c r="CF605" t="s">
        <v>226</v>
      </c>
      <c r="CG605" t="s">
        <v>343</v>
      </c>
      <c r="CH605" t="s">
        <v>228</v>
      </c>
      <c r="CI605" t="s">
        <v>1697</v>
      </c>
      <c r="CJ605" t="s">
        <v>206</v>
      </c>
      <c r="CK605" t="s">
        <v>230</v>
      </c>
      <c r="CL605" t="s">
        <v>231</v>
      </c>
      <c r="CM605" t="s">
        <v>232</v>
      </c>
      <c r="CN605" t="s">
        <v>233</v>
      </c>
      <c r="CP605" t="s">
        <v>212</v>
      </c>
      <c r="CQ605" t="s">
        <v>212</v>
      </c>
      <c r="CR605" t="s">
        <v>212</v>
      </c>
      <c r="CS605" t="s">
        <v>212</v>
      </c>
      <c r="CY605" t="s">
        <v>212</v>
      </c>
      <c r="DB605" t="s">
        <v>234</v>
      </c>
      <c r="DE605" t="s">
        <v>212</v>
      </c>
      <c r="DF605" t="s">
        <v>212</v>
      </c>
      <c r="DG605" t="s">
        <v>235</v>
      </c>
      <c r="DH605" t="s">
        <v>212</v>
      </c>
      <c r="DJ605" t="s">
        <v>236</v>
      </c>
      <c r="DM605" t="s">
        <v>212</v>
      </c>
    </row>
    <row r="606" spans="1:117" x14ac:dyDescent="0.3">
      <c r="A606">
        <v>341283</v>
      </c>
      <c r="B606">
        <v>308597</v>
      </c>
      <c r="C606" t="str">
        <f>"080126650401"</f>
        <v>080126650401</v>
      </c>
      <c r="D606" t="s">
        <v>1573</v>
      </c>
      <c r="E606" t="s">
        <v>347</v>
      </c>
      <c r="F606" t="s">
        <v>1163</v>
      </c>
      <c r="G606" s="1">
        <v>39473</v>
      </c>
      <c r="I606" t="s">
        <v>199</v>
      </c>
      <c r="J606" t="s">
        <v>200</v>
      </c>
      <c r="K606" t="s">
        <v>260</v>
      </c>
      <c r="R606" t="str">
        <f>"КАЗАХСТАН, АКМОЛИНСКАЯ, СТЕПНОГОРСК, 21, 34"</f>
        <v>КАЗАХСТАН, АКМОЛИНСКАЯ, СТЕПНОГОРСК, 21, 34</v>
      </c>
      <c r="S606" t="str">
        <f>"ҚАЗАҚСТАН, АҚМОЛА, СТЕПНОГОР, 21, 34"</f>
        <v>ҚАЗАҚСТАН, АҚМОЛА, СТЕПНОГОР, 21, 34</v>
      </c>
      <c r="T606" t="str">
        <f>"21, 34"</f>
        <v>21, 34</v>
      </c>
      <c r="U606" t="str">
        <f>"21, 34"</f>
        <v>21, 34</v>
      </c>
      <c r="AC606" t="str">
        <f>"2013-09-02T00:00:00"</f>
        <v>2013-09-02T00:00:00</v>
      </c>
      <c r="AD606" t="str">
        <f t="shared" si="23"/>
        <v>1</v>
      </c>
      <c r="AG606" t="s">
        <v>202</v>
      </c>
      <c r="AH606" t="str">
        <f t="shared" si="24"/>
        <v>ckool007@mail.ru</v>
      </c>
      <c r="AI606" t="s">
        <v>203</v>
      </c>
      <c r="AJ606" t="s">
        <v>204</v>
      </c>
      <c r="AK606" t="s">
        <v>246</v>
      </c>
      <c r="AL606" t="s">
        <v>206</v>
      </c>
      <c r="AN606" t="s">
        <v>207</v>
      </c>
      <c r="AO606">
        <v>1</v>
      </c>
      <c r="AP606" t="s">
        <v>208</v>
      </c>
      <c r="AQ606" t="s">
        <v>209</v>
      </c>
      <c r="AR606" t="s">
        <v>210</v>
      </c>
      <c r="AW606" t="s">
        <v>206</v>
      </c>
      <c r="AX606" t="s">
        <v>211</v>
      </c>
      <c r="AZ606" t="s">
        <v>209</v>
      </c>
      <c r="BI606" t="s">
        <v>212</v>
      </c>
      <c r="BJ606" t="s">
        <v>213</v>
      </c>
      <c r="BK606" t="s">
        <v>214</v>
      </c>
      <c r="BL606" t="s">
        <v>215</v>
      </c>
      <c r="BN606" t="s">
        <v>247</v>
      </c>
      <c r="BO606" t="s">
        <v>209</v>
      </c>
      <c r="BP606" t="s">
        <v>217</v>
      </c>
      <c r="BQ606" t="s">
        <v>329</v>
      </c>
      <c r="BS606" t="s">
        <v>219</v>
      </c>
      <c r="BT606" t="s">
        <v>220</v>
      </c>
      <c r="BU606" t="s">
        <v>206</v>
      </c>
      <c r="BX606" t="s">
        <v>221</v>
      </c>
      <c r="BY606" t="s">
        <v>221</v>
      </c>
      <c r="CA606" t="s">
        <v>263</v>
      </c>
      <c r="CB606" t="s">
        <v>223</v>
      </c>
      <c r="CC606" t="s">
        <v>209</v>
      </c>
      <c r="CE606" t="s">
        <v>242</v>
      </c>
      <c r="CJ606" t="s">
        <v>206</v>
      </c>
      <c r="CK606" t="s">
        <v>230</v>
      </c>
      <c r="CL606" t="s">
        <v>231</v>
      </c>
      <c r="CM606" t="s">
        <v>232</v>
      </c>
      <c r="CN606" t="s">
        <v>233</v>
      </c>
      <c r="CP606" t="s">
        <v>212</v>
      </c>
      <c r="CQ606" t="s">
        <v>212</v>
      </c>
      <c r="CR606" t="s">
        <v>212</v>
      </c>
      <c r="CS606" t="s">
        <v>212</v>
      </c>
      <c r="CY606" t="s">
        <v>212</v>
      </c>
      <c r="DB606" t="s">
        <v>234</v>
      </c>
      <c r="DE606" t="s">
        <v>212</v>
      </c>
      <c r="DF606" t="s">
        <v>212</v>
      </c>
      <c r="DG606" t="s">
        <v>235</v>
      </c>
      <c r="DH606" t="s">
        <v>212</v>
      </c>
      <c r="DJ606" t="s">
        <v>236</v>
      </c>
      <c r="DM606" t="s">
        <v>212</v>
      </c>
    </row>
    <row r="607" spans="1:117" x14ac:dyDescent="0.3">
      <c r="A607">
        <v>341253</v>
      </c>
      <c r="B607">
        <v>308570</v>
      </c>
      <c r="C607" t="str">
        <f>"100106652881"</f>
        <v>100106652881</v>
      </c>
      <c r="D607" t="s">
        <v>1698</v>
      </c>
      <c r="E607" t="s">
        <v>516</v>
      </c>
      <c r="F607" t="s">
        <v>400</v>
      </c>
      <c r="G607" s="1">
        <v>40184</v>
      </c>
      <c r="I607" t="s">
        <v>199</v>
      </c>
      <c r="J607" t="s">
        <v>200</v>
      </c>
      <c r="K607" t="s">
        <v>260</v>
      </c>
      <c r="R607" t="str">
        <f>"АНДОРРА, АКМОЛИНСКАЯ, СТЕПНОГОРСК, 11А, 44"</f>
        <v>АНДОРРА, АКМОЛИНСКАЯ, СТЕПНОГОРСК, 11А, 44</v>
      </c>
      <c r="S607" t="str">
        <f>"АНДОРРА, АҚМОЛА, СТЕПНОГОР, 11А, 44"</f>
        <v>АНДОРРА, АҚМОЛА, СТЕПНОГОР, 11А, 44</v>
      </c>
      <c r="T607" t="str">
        <f>"11А, 44"</f>
        <v>11А, 44</v>
      </c>
      <c r="U607" t="str">
        <f>"11А, 44"</f>
        <v>11А, 44</v>
      </c>
      <c r="AC607" t="str">
        <f>"2016-09-01T00:00:00"</f>
        <v>2016-09-01T00:00:00</v>
      </c>
      <c r="AD607" t="str">
        <f t="shared" si="23"/>
        <v>1</v>
      </c>
      <c r="AG607" t="s">
        <v>202</v>
      </c>
      <c r="AH607" t="str">
        <f t="shared" si="24"/>
        <v>ckool007@mail.ru</v>
      </c>
      <c r="AI607" t="s">
        <v>299</v>
      </c>
      <c r="AJ607" t="s">
        <v>286</v>
      </c>
      <c r="AK607" t="s">
        <v>205</v>
      </c>
      <c r="AL607" t="s">
        <v>206</v>
      </c>
      <c r="AN607" t="s">
        <v>207</v>
      </c>
      <c r="AO607">
        <v>1</v>
      </c>
      <c r="AP607" t="s">
        <v>208</v>
      </c>
      <c r="AQ607" t="s">
        <v>209</v>
      </c>
      <c r="AR607" t="s">
        <v>210</v>
      </c>
      <c r="AW607" t="s">
        <v>206</v>
      </c>
      <c r="AX607" t="s">
        <v>211</v>
      </c>
      <c r="AZ607" t="s">
        <v>209</v>
      </c>
      <c r="BI607" t="s">
        <v>212</v>
      </c>
      <c r="BJ607" t="s">
        <v>213</v>
      </c>
      <c r="BK607" t="s">
        <v>214</v>
      </c>
      <c r="BL607" t="s">
        <v>215</v>
      </c>
      <c r="BN607" t="s">
        <v>247</v>
      </c>
      <c r="BO607" t="s">
        <v>209</v>
      </c>
      <c r="BP607" t="s">
        <v>241</v>
      </c>
      <c r="BQ607">
        <v>3</v>
      </c>
      <c r="BS607" t="s">
        <v>219</v>
      </c>
      <c r="BT607" t="s">
        <v>220</v>
      </c>
      <c r="BU607" t="s">
        <v>206</v>
      </c>
      <c r="BX607" t="s">
        <v>221</v>
      </c>
      <c r="BY607" t="s">
        <v>221</v>
      </c>
      <c r="CA607" t="s">
        <v>287</v>
      </c>
      <c r="CC607" t="s">
        <v>209</v>
      </c>
      <c r="CE607" t="s">
        <v>242</v>
      </c>
      <c r="CJ607" t="s">
        <v>206</v>
      </c>
      <c r="CK607" t="s">
        <v>230</v>
      </c>
      <c r="CL607" t="s">
        <v>231</v>
      </c>
      <c r="CM607" t="s">
        <v>232</v>
      </c>
      <c r="CN607" t="s">
        <v>233</v>
      </c>
      <c r="CP607" t="s">
        <v>212</v>
      </c>
      <c r="CQ607" t="s">
        <v>212</v>
      </c>
      <c r="CR607" t="s">
        <v>212</v>
      </c>
      <c r="CS607" t="s">
        <v>212</v>
      </c>
      <c r="CY607" t="s">
        <v>212</v>
      </c>
      <c r="DB607" t="s">
        <v>234</v>
      </c>
      <c r="DE607" t="s">
        <v>212</v>
      </c>
      <c r="DF607" t="s">
        <v>212</v>
      </c>
      <c r="DG607" t="s">
        <v>235</v>
      </c>
      <c r="DH607" t="s">
        <v>212</v>
      </c>
      <c r="DJ607" t="s">
        <v>236</v>
      </c>
      <c r="DM607" t="s">
        <v>212</v>
      </c>
    </row>
    <row r="608" spans="1:117" x14ac:dyDescent="0.3">
      <c r="A608">
        <v>341187</v>
      </c>
      <c r="B608">
        <v>308515</v>
      </c>
      <c r="C608" t="str">
        <f>"100503550659"</f>
        <v>100503550659</v>
      </c>
      <c r="D608" t="s">
        <v>1699</v>
      </c>
      <c r="E608" t="s">
        <v>1700</v>
      </c>
      <c r="F608" t="s">
        <v>290</v>
      </c>
      <c r="G608" s="1">
        <v>40301</v>
      </c>
      <c r="I608" t="s">
        <v>240</v>
      </c>
      <c r="J608" t="s">
        <v>200</v>
      </c>
      <c r="K608" t="s">
        <v>260</v>
      </c>
      <c r="R608" t="str">
        <f>"АНДОРРА, АКМОЛИНСКАЯ, СТЕПНОГОРСК, 33, 17"</f>
        <v>АНДОРРА, АКМОЛИНСКАЯ, СТЕПНОГОРСК, 33, 17</v>
      </c>
      <c r="S608" t="str">
        <f>"АНДОРРА, АҚМОЛА, СТЕПНОГОР, 33, 17"</f>
        <v>АНДОРРА, АҚМОЛА, СТЕПНОГОР, 33, 17</v>
      </c>
      <c r="T608" t="str">
        <f>"33, 17"</f>
        <v>33, 17</v>
      </c>
      <c r="U608" t="str">
        <f>"33, 17"</f>
        <v>33, 17</v>
      </c>
      <c r="AC608" t="str">
        <f>"2016-09-01T00:00:00"</f>
        <v>2016-09-01T00:00:00</v>
      </c>
      <c r="AD608" t="str">
        <f t="shared" si="23"/>
        <v>1</v>
      </c>
      <c r="AG608" t="s">
        <v>202</v>
      </c>
      <c r="AH608" t="str">
        <f t="shared" si="24"/>
        <v>ckool007@mail.ru</v>
      </c>
      <c r="AI608" t="s">
        <v>203</v>
      </c>
      <c r="AJ608" t="s">
        <v>286</v>
      </c>
      <c r="AK608" t="s">
        <v>261</v>
      </c>
      <c r="AL608" t="s">
        <v>206</v>
      </c>
      <c r="AN608" t="s">
        <v>207</v>
      </c>
      <c r="AO608">
        <v>1</v>
      </c>
      <c r="AP608" t="s">
        <v>208</v>
      </c>
      <c r="AQ608" t="s">
        <v>209</v>
      </c>
      <c r="AR608" t="s">
        <v>210</v>
      </c>
      <c r="AW608" t="s">
        <v>206</v>
      </c>
      <c r="AX608" t="s">
        <v>211</v>
      </c>
      <c r="AZ608" t="s">
        <v>209</v>
      </c>
      <c r="BI608" t="s">
        <v>212</v>
      </c>
      <c r="BJ608" t="s">
        <v>213</v>
      </c>
      <c r="BK608" t="s">
        <v>214</v>
      </c>
      <c r="BL608" t="s">
        <v>215</v>
      </c>
      <c r="BN608" t="s">
        <v>216</v>
      </c>
      <c r="BO608" t="s">
        <v>209</v>
      </c>
      <c r="BP608" t="s">
        <v>241</v>
      </c>
      <c r="BQ608">
        <v>4</v>
      </c>
      <c r="BS608" t="s">
        <v>219</v>
      </c>
      <c r="BT608" t="s">
        <v>220</v>
      </c>
      <c r="BU608" t="s">
        <v>206</v>
      </c>
      <c r="BX608" t="s">
        <v>221</v>
      </c>
      <c r="BY608" t="s">
        <v>221</v>
      </c>
      <c r="CA608" t="s">
        <v>287</v>
      </c>
      <c r="CC608" t="s">
        <v>222</v>
      </c>
      <c r="CD608" t="s">
        <v>223</v>
      </c>
      <c r="CE608" t="s">
        <v>563</v>
      </c>
      <c r="CF608" t="s">
        <v>564</v>
      </c>
      <c r="CG608" t="s">
        <v>764</v>
      </c>
      <c r="CH608" t="s">
        <v>1670</v>
      </c>
      <c r="CI608" t="s">
        <v>1701</v>
      </c>
      <c r="CJ608" t="s">
        <v>206</v>
      </c>
      <c r="CK608" t="s">
        <v>230</v>
      </c>
      <c r="CL608" t="s">
        <v>231</v>
      </c>
      <c r="CM608" t="s">
        <v>232</v>
      </c>
      <c r="CN608" t="s">
        <v>233</v>
      </c>
      <c r="CP608" t="s">
        <v>212</v>
      </c>
      <c r="CQ608" t="s">
        <v>212</v>
      </c>
      <c r="CR608" t="s">
        <v>212</v>
      </c>
      <c r="CS608" t="s">
        <v>212</v>
      </c>
      <c r="CY608" t="s">
        <v>212</v>
      </c>
      <c r="DB608" t="s">
        <v>234</v>
      </c>
      <c r="DE608" t="s">
        <v>212</v>
      </c>
      <c r="DF608" t="s">
        <v>212</v>
      </c>
      <c r="DG608" t="s">
        <v>235</v>
      </c>
      <c r="DH608" t="s">
        <v>212</v>
      </c>
      <c r="DJ608" t="s">
        <v>236</v>
      </c>
      <c r="DM608" t="s">
        <v>212</v>
      </c>
    </row>
    <row r="609" spans="1:117" x14ac:dyDescent="0.3">
      <c r="A609">
        <v>341095</v>
      </c>
      <c r="B609">
        <v>308437</v>
      </c>
      <c r="C609" t="str">
        <f>"100221551614"</f>
        <v>100221551614</v>
      </c>
      <c r="D609" t="s">
        <v>1702</v>
      </c>
      <c r="E609" t="s">
        <v>679</v>
      </c>
      <c r="F609" t="s">
        <v>321</v>
      </c>
      <c r="G609" s="1">
        <v>40230</v>
      </c>
      <c r="I609" t="s">
        <v>240</v>
      </c>
      <c r="J609" t="s">
        <v>200</v>
      </c>
      <c r="K609" t="s">
        <v>260</v>
      </c>
      <c r="R609" t="str">
        <f>"АНДОРРА, АКМОЛИНСКАЯ, СТЕПНОГОРСК, 22, 23"</f>
        <v>АНДОРРА, АКМОЛИНСКАЯ, СТЕПНОГОРСК, 22, 23</v>
      </c>
      <c r="S609" t="str">
        <f>"АНДОРРА, АҚМОЛА, СТЕПНОГОР, 22, 23"</f>
        <v>АНДОРРА, АҚМОЛА, СТЕПНОГОР, 22, 23</v>
      </c>
      <c r="T609" t="str">
        <f>"22, 23"</f>
        <v>22, 23</v>
      </c>
      <c r="U609" t="str">
        <f>"22, 23"</f>
        <v>22, 23</v>
      </c>
      <c r="AC609" t="str">
        <f>"2016-09-01T00:00:00"</f>
        <v>2016-09-01T00:00:00</v>
      </c>
      <c r="AD609" t="str">
        <f t="shared" si="23"/>
        <v>1</v>
      </c>
      <c r="AG609" t="s">
        <v>202</v>
      </c>
      <c r="AH609" t="str">
        <f t="shared" si="24"/>
        <v>ckool007@mail.ru</v>
      </c>
      <c r="AI609" t="s">
        <v>203</v>
      </c>
      <c r="AJ609" t="s">
        <v>286</v>
      </c>
      <c r="AK609" t="s">
        <v>261</v>
      </c>
      <c r="AL609" t="s">
        <v>206</v>
      </c>
      <c r="AN609" t="s">
        <v>207</v>
      </c>
      <c r="AO609">
        <v>1</v>
      </c>
      <c r="AP609" t="s">
        <v>208</v>
      </c>
      <c r="AQ609" t="s">
        <v>209</v>
      </c>
      <c r="AR609" t="s">
        <v>210</v>
      </c>
      <c r="AW609" t="s">
        <v>206</v>
      </c>
      <c r="AX609" t="s">
        <v>211</v>
      </c>
      <c r="AZ609" t="s">
        <v>209</v>
      </c>
      <c r="BI609" t="s">
        <v>212</v>
      </c>
      <c r="BJ609" t="s">
        <v>213</v>
      </c>
      <c r="BK609" t="s">
        <v>214</v>
      </c>
      <c r="BL609" t="s">
        <v>215</v>
      </c>
      <c r="BN609" t="s">
        <v>247</v>
      </c>
      <c r="BO609" t="s">
        <v>209</v>
      </c>
      <c r="BP609" t="s">
        <v>241</v>
      </c>
      <c r="BQ609">
        <v>3</v>
      </c>
      <c r="BS609" t="s">
        <v>219</v>
      </c>
      <c r="BT609" t="s">
        <v>220</v>
      </c>
      <c r="BU609" t="s">
        <v>206</v>
      </c>
      <c r="BX609" t="s">
        <v>221</v>
      </c>
      <c r="BY609" t="s">
        <v>221</v>
      </c>
      <c r="CA609" t="s">
        <v>256</v>
      </c>
      <c r="CB609" t="s">
        <v>223</v>
      </c>
      <c r="CC609" t="s">
        <v>256</v>
      </c>
      <c r="CD609" t="s">
        <v>223</v>
      </c>
      <c r="CE609" t="s">
        <v>242</v>
      </c>
      <c r="CJ609" t="s">
        <v>206</v>
      </c>
      <c r="CK609" t="s">
        <v>230</v>
      </c>
      <c r="CL609" t="s">
        <v>231</v>
      </c>
      <c r="CM609" t="s">
        <v>232</v>
      </c>
      <c r="CN609" t="s">
        <v>233</v>
      </c>
      <c r="CP609" t="s">
        <v>212</v>
      </c>
      <c r="CQ609" t="s">
        <v>212</v>
      </c>
      <c r="CR609" t="s">
        <v>212</v>
      </c>
      <c r="CS609" t="s">
        <v>212</v>
      </c>
      <c r="CY609" t="s">
        <v>212</v>
      </c>
      <c r="DB609" t="s">
        <v>234</v>
      </c>
      <c r="DE609" t="s">
        <v>212</v>
      </c>
      <c r="DF609" t="s">
        <v>212</v>
      </c>
      <c r="DG609" t="s">
        <v>235</v>
      </c>
      <c r="DH609" t="s">
        <v>212</v>
      </c>
      <c r="DJ609" t="s">
        <v>236</v>
      </c>
      <c r="DM609" t="s">
        <v>212</v>
      </c>
    </row>
    <row r="610" spans="1:117" x14ac:dyDescent="0.3">
      <c r="A610">
        <v>340734</v>
      </c>
      <c r="B610">
        <v>308108</v>
      </c>
      <c r="C610" t="str">
        <f>"071219553047"</f>
        <v>071219553047</v>
      </c>
      <c r="D610" t="s">
        <v>1703</v>
      </c>
      <c r="E610" t="s">
        <v>276</v>
      </c>
      <c r="F610" t="s">
        <v>1704</v>
      </c>
      <c r="G610" s="1">
        <v>39435</v>
      </c>
      <c r="I610" t="s">
        <v>240</v>
      </c>
      <c r="J610" t="s">
        <v>200</v>
      </c>
      <c r="K610" t="s">
        <v>201</v>
      </c>
      <c r="R610" t="str">
        <f>"АНДОРРА, АКМОЛИНСКАЯ, СТЕПНОГОРСК, 11, 94"</f>
        <v>АНДОРРА, АКМОЛИНСКАЯ, СТЕПНОГОРСК, 11, 94</v>
      </c>
      <c r="S610" t="str">
        <f>"АНДОРРА, АҚМОЛА, СТЕПНОГОР, 11, 94"</f>
        <v>АНДОРРА, АҚМОЛА, СТЕПНОГОР, 11, 94</v>
      </c>
      <c r="T610" t="str">
        <f>"11, 94"</f>
        <v>11, 94</v>
      </c>
      <c r="U610" t="str">
        <f>"11, 94"</f>
        <v>11, 94</v>
      </c>
      <c r="AC610" t="str">
        <f>"2015-09-01T00:00:00"</f>
        <v>2015-09-01T00:00:00</v>
      </c>
      <c r="AD610" t="str">
        <f t="shared" si="23"/>
        <v>1</v>
      </c>
      <c r="AG610" t="s">
        <v>202</v>
      </c>
      <c r="AH610" t="str">
        <f t="shared" si="24"/>
        <v>ckool007@mail.ru</v>
      </c>
      <c r="AI610" t="s">
        <v>203</v>
      </c>
      <c r="AJ610" t="s">
        <v>204</v>
      </c>
      <c r="AK610" t="s">
        <v>253</v>
      </c>
      <c r="AL610" t="s">
        <v>206</v>
      </c>
      <c r="AN610" t="s">
        <v>254</v>
      </c>
      <c r="AO610">
        <v>1</v>
      </c>
      <c r="AP610" t="s">
        <v>208</v>
      </c>
      <c r="AQ610" t="s">
        <v>209</v>
      </c>
      <c r="AR610" t="s">
        <v>210</v>
      </c>
      <c r="AW610" t="s">
        <v>206</v>
      </c>
      <c r="AX610" t="s">
        <v>211</v>
      </c>
      <c r="AZ610" t="s">
        <v>209</v>
      </c>
      <c r="BI610" t="s">
        <v>212</v>
      </c>
      <c r="BJ610" t="s">
        <v>213</v>
      </c>
      <c r="BK610" t="s">
        <v>214</v>
      </c>
      <c r="BL610" t="s">
        <v>215</v>
      </c>
      <c r="BN610" t="s">
        <v>247</v>
      </c>
      <c r="BO610" t="s">
        <v>209</v>
      </c>
      <c r="BP610" t="s">
        <v>217</v>
      </c>
      <c r="BQ610" t="s">
        <v>1705</v>
      </c>
      <c r="BS610" t="s">
        <v>219</v>
      </c>
      <c r="BT610" t="s">
        <v>220</v>
      </c>
      <c r="BU610" t="s">
        <v>206</v>
      </c>
      <c r="BX610" t="s">
        <v>221</v>
      </c>
      <c r="BY610" t="s">
        <v>221</v>
      </c>
      <c r="CA610" t="s">
        <v>256</v>
      </c>
      <c r="CB610" t="s">
        <v>223</v>
      </c>
      <c r="CC610" t="s">
        <v>209</v>
      </c>
      <c r="CE610" t="s">
        <v>242</v>
      </c>
      <c r="CJ610" t="s">
        <v>206</v>
      </c>
      <c r="CK610" t="s">
        <v>230</v>
      </c>
      <c r="CL610" t="s">
        <v>231</v>
      </c>
      <c r="CM610" t="s">
        <v>232</v>
      </c>
      <c r="CN610" t="s">
        <v>233</v>
      </c>
      <c r="CP610" t="s">
        <v>212</v>
      </c>
      <c r="CQ610" t="s">
        <v>212</v>
      </c>
      <c r="CR610" t="s">
        <v>212</v>
      </c>
      <c r="CS610" t="s">
        <v>212</v>
      </c>
      <c r="CY610" t="s">
        <v>212</v>
      </c>
      <c r="DB610" t="s">
        <v>234</v>
      </c>
      <c r="DE610" t="s">
        <v>212</v>
      </c>
      <c r="DF610" t="s">
        <v>212</v>
      </c>
      <c r="DG610" t="s">
        <v>235</v>
      </c>
      <c r="DH610" t="s">
        <v>212</v>
      </c>
      <c r="DJ610" t="s">
        <v>236</v>
      </c>
      <c r="DM610" t="s">
        <v>212</v>
      </c>
    </row>
    <row r="611" spans="1:117" x14ac:dyDescent="0.3">
      <c r="A611">
        <v>340551</v>
      </c>
      <c r="B611">
        <v>307944</v>
      </c>
      <c r="C611" t="str">
        <f>"100628553811"</f>
        <v>100628553811</v>
      </c>
      <c r="D611" t="s">
        <v>1385</v>
      </c>
      <c r="E611" t="s">
        <v>1706</v>
      </c>
      <c r="F611" t="s">
        <v>1387</v>
      </c>
      <c r="G611" s="1">
        <v>40357</v>
      </c>
      <c r="I611" t="s">
        <v>240</v>
      </c>
      <c r="J611" t="s">
        <v>200</v>
      </c>
      <c r="K611" t="s">
        <v>201</v>
      </c>
      <c r="R611" t="str">
        <f>"КАЗАХСТАН, АКМОЛИНСКАЯ, СТЕПНОГОРСК, 35, 20"</f>
        <v>КАЗАХСТАН, АКМОЛИНСКАЯ, СТЕПНОГОРСК, 35, 20</v>
      </c>
      <c r="S611" t="str">
        <f>"ҚАЗАҚСТАН, АҚМОЛА, СТЕПНОГОР, 35, 20"</f>
        <v>ҚАЗАҚСТАН, АҚМОЛА, СТЕПНОГОР, 35, 20</v>
      </c>
      <c r="T611" t="str">
        <f>"35, 20"</f>
        <v>35, 20</v>
      </c>
      <c r="U611" t="str">
        <f>"35, 20"</f>
        <v>35, 20</v>
      </c>
      <c r="AC611" t="str">
        <f>"2017-11-08T00:00:00"</f>
        <v>2017-11-08T00:00:00</v>
      </c>
      <c r="AD611" t="str">
        <f>"58"</f>
        <v>58</v>
      </c>
      <c r="AG611" t="s">
        <v>646</v>
      </c>
      <c r="AI611" t="s">
        <v>299</v>
      </c>
      <c r="AJ611" t="s">
        <v>300</v>
      </c>
      <c r="AK611" t="s">
        <v>253</v>
      </c>
      <c r="AL611" t="s">
        <v>206</v>
      </c>
      <c r="AN611" t="s">
        <v>254</v>
      </c>
      <c r="AO611">
        <v>1</v>
      </c>
      <c r="AP611" t="s">
        <v>208</v>
      </c>
      <c r="AQ611" t="s">
        <v>209</v>
      </c>
      <c r="AR611" t="s">
        <v>210</v>
      </c>
      <c r="AW611" t="s">
        <v>206</v>
      </c>
      <c r="AX611" t="s">
        <v>211</v>
      </c>
      <c r="AZ611" t="s">
        <v>209</v>
      </c>
      <c r="BI611" t="s">
        <v>212</v>
      </c>
      <c r="BJ611" t="s">
        <v>213</v>
      </c>
      <c r="BK611" t="s">
        <v>214</v>
      </c>
      <c r="BL611" t="s">
        <v>215</v>
      </c>
      <c r="BN611" t="s">
        <v>247</v>
      </c>
      <c r="BO611" t="s">
        <v>209</v>
      </c>
      <c r="BP611" t="s">
        <v>241</v>
      </c>
      <c r="BQ611">
        <v>3</v>
      </c>
      <c r="BS611" t="s">
        <v>219</v>
      </c>
      <c r="BT611" t="s">
        <v>220</v>
      </c>
      <c r="BU611" t="s">
        <v>206</v>
      </c>
      <c r="BX611" t="s">
        <v>221</v>
      </c>
      <c r="BY611" t="s">
        <v>221</v>
      </c>
      <c r="CA611" t="s">
        <v>256</v>
      </c>
      <c r="CB611" t="s">
        <v>223</v>
      </c>
      <c r="CC611" t="s">
        <v>256</v>
      </c>
      <c r="CD611" t="s">
        <v>223</v>
      </c>
      <c r="CE611" t="s">
        <v>225</v>
      </c>
      <c r="CF611" t="s">
        <v>226</v>
      </c>
      <c r="CG611" t="s">
        <v>227</v>
      </c>
      <c r="CH611" t="s">
        <v>228</v>
      </c>
      <c r="CI611" t="s">
        <v>1707</v>
      </c>
      <c r="CJ611" t="s">
        <v>206</v>
      </c>
      <c r="CK611" t="s">
        <v>230</v>
      </c>
      <c r="CL611" t="s">
        <v>231</v>
      </c>
      <c r="CM611" t="s">
        <v>232</v>
      </c>
      <c r="CN611" t="s">
        <v>233</v>
      </c>
      <c r="CP611" t="s">
        <v>212</v>
      </c>
      <c r="CQ611" t="s">
        <v>212</v>
      </c>
      <c r="CR611" t="s">
        <v>212</v>
      </c>
      <c r="CS611" t="s">
        <v>212</v>
      </c>
      <c r="CY611" t="s">
        <v>212</v>
      </c>
      <c r="DB611" t="s">
        <v>234</v>
      </c>
      <c r="DE611" t="s">
        <v>212</v>
      </c>
      <c r="DF611" t="s">
        <v>212</v>
      </c>
      <c r="DG611" t="s">
        <v>235</v>
      </c>
      <c r="DH611" t="s">
        <v>212</v>
      </c>
      <c r="DJ611" t="s">
        <v>236</v>
      </c>
      <c r="DM611" t="s">
        <v>212</v>
      </c>
    </row>
    <row r="612" spans="1:117" x14ac:dyDescent="0.3">
      <c r="A612">
        <v>340429</v>
      </c>
      <c r="B612">
        <v>307840</v>
      </c>
      <c r="C612" t="str">
        <f>"081019650829"</f>
        <v>081019650829</v>
      </c>
      <c r="D612" t="s">
        <v>1708</v>
      </c>
      <c r="E612" t="s">
        <v>725</v>
      </c>
      <c r="F612" t="s">
        <v>1133</v>
      </c>
      <c r="G612" s="1">
        <v>39740</v>
      </c>
      <c r="I612" t="s">
        <v>199</v>
      </c>
      <c r="J612" t="s">
        <v>200</v>
      </c>
      <c r="K612" t="s">
        <v>268</v>
      </c>
      <c r="Q612" t="s">
        <v>212</v>
      </c>
      <c r="R612" t="str">
        <f>"АНДОРРА, АКМОЛИНСКАЯ, СТЕПНОГОРСК, 51, 309"</f>
        <v>АНДОРРА, АКМОЛИНСКАЯ, СТЕПНОГОРСК, 51, 309</v>
      </c>
      <c r="S612" t="str">
        <f>"АНДОРРА, АҚМОЛА, СТЕПНОГОР, 51, 309"</f>
        <v>АНДОРРА, АҚМОЛА, СТЕПНОГОР, 51, 309</v>
      </c>
      <c r="T612" t="str">
        <f>"51, 309"</f>
        <v>51, 309</v>
      </c>
      <c r="U612" t="str">
        <f>"51, 309"</f>
        <v>51, 309</v>
      </c>
      <c r="AC612" t="str">
        <f>"2015-09-01T00:00:00"</f>
        <v>2015-09-01T00:00:00</v>
      </c>
      <c r="AD612" t="str">
        <f>"1"</f>
        <v>1</v>
      </c>
      <c r="AG612" t="s">
        <v>202</v>
      </c>
      <c r="AH612" t="str">
        <f>"ckool007@mail.ru"</f>
        <v>ckool007@mail.ru</v>
      </c>
      <c r="AI612" t="s">
        <v>203</v>
      </c>
      <c r="AJ612" t="s">
        <v>204</v>
      </c>
      <c r="AK612" t="s">
        <v>205</v>
      </c>
      <c r="AL612" t="s">
        <v>206</v>
      </c>
      <c r="AN612" t="s">
        <v>207</v>
      </c>
      <c r="AO612">
        <v>1</v>
      </c>
      <c r="AP612" t="s">
        <v>208</v>
      </c>
      <c r="AQ612" t="s">
        <v>209</v>
      </c>
      <c r="AR612" t="s">
        <v>210</v>
      </c>
      <c r="AW612" t="s">
        <v>206</v>
      </c>
      <c r="AX612" t="s">
        <v>211</v>
      </c>
      <c r="AZ612" t="s">
        <v>209</v>
      </c>
      <c r="BI612" t="s">
        <v>212</v>
      </c>
      <c r="BJ612" t="s">
        <v>213</v>
      </c>
      <c r="BK612" t="s">
        <v>214</v>
      </c>
      <c r="BL612" t="s">
        <v>215</v>
      </c>
      <c r="BN612" t="s">
        <v>216</v>
      </c>
      <c r="BO612" t="s">
        <v>209</v>
      </c>
      <c r="BP612" t="s">
        <v>241</v>
      </c>
      <c r="BQ612">
        <v>4</v>
      </c>
      <c r="BS612" t="s">
        <v>219</v>
      </c>
      <c r="BT612" t="s">
        <v>220</v>
      </c>
      <c r="BU612" t="s">
        <v>206</v>
      </c>
      <c r="BX612" t="s">
        <v>234</v>
      </c>
      <c r="BY612" t="s">
        <v>234</v>
      </c>
      <c r="CA612" t="s">
        <v>222</v>
      </c>
      <c r="CB612" t="s">
        <v>223</v>
      </c>
      <c r="CC612" t="s">
        <v>353</v>
      </c>
      <c r="CD612" t="s">
        <v>223</v>
      </c>
      <c r="CE612" t="s">
        <v>242</v>
      </c>
      <c r="CJ612" t="s">
        <v>206</v>
      </c>
      <c r="CK612" t="s">
        <v>230</v>
      </c>
      <c r="CL612" t="s">
        <v>231</v>
      </c>
      <c r="CM612" t="s">
        <v>232</v>
      </c>
      <c r="CN612" t="s">
        <v>233</v>
      </c>
      <c r="CP612" t="s">
        <v>212</v>
      </c>
      <c r="CQ612" t="s">
        <v>212</v>
      </c>
      <c r="CR612" t="s">
        <v>212</v>
      </c>
      <c r="CS612" t="s">
        <v>212</v>
      </c>
      <c r="CY612" t="s">
        <v>212</v>
      </c>
      <c r="DB612" t="s">
        <v>234</v>
      </c>
      <c r="DE612" t="s">
        <v>212</v>
      </c>
      <c r="DF612" t="s">
        <v>212</v>
      </c>
      <c r="DG612" t="s">
        <v>235</v>
      </c>
      <c r="DH612" t="s">
        <v>212</v>
      </c>
      <c r="DJ612" t="s">
        <v>236</v>
      </c>
      <c r="DM612" t="s">
        <v>212</v>
      </c>
    </row>
    <row r="613" spans="1:117" x14ac:dyDescent="0.3">
      <c r="A613">
        <v>340377</v>
      </c>
      <c r="B613">
        <v>307791</v>
      </c>
      <c r="C613" t="str">
        <f>"081121551964"</f>
        <v>081121551964</v>
      </c>
      <c r="D613" t="s">
        <v>640</v>
      </c>
      <c r="E613" t="s">
        <v>520</v>
      </c>
      <c r="F613" t="s">
        <v>1541</v>
      </c>
      <c r="G613" s="1">
        <v>39773</v>
      </c>
      <c r="I613" t="s">
        <v>240</v>
      </c>
      <c r="J613" t="s">
        <v>200</v>
      </c>
      <c r="K613" t="s">
        <v>306</v>
      </c>
      <c r="R613" t="str">
        <f>"АНДОРРА, АКМОЛИНСКАЯ, СТЕПНОГОРСК, 50, 67"</f>
        <v>АНДОРРА, АКМОЛИНСКАЯ, СТЕПНОГОРСК, 50, 67</v>
      </c>
      <c r="S613" t="str">
        <f>"АНДОРРА, АҚМОЛА, СТЕПНОГОР, 50, 67"</f>
        <v>АНДОРРА, АҚМОЛА, СТЕПНОГОР, 50, 67</v>
      </c>
      <c r="T613" t="str">
        <f>"50, 67"</f>
        <v>50, 67</v>
      </c>
      <c r="U613" t="str">
        <f>"50, 67"</f>
        <v>50, 67</v>
      </c>
      <c r="AC613" t="str">
        <f>"2015-09-01T00:00:00"</f>
        <v>2015-09-01T00:00:00</v>
      </c>
      <c r="AD613" t="str">
        <f>"1"</f>
        <v>1</v>
      </c>
      <c r="AG613" t="s">
        <v>202</v>
      </c>
      <c r="AH613" t="str">
        <f>"ckool007@mail.ru"</f>
        <v>ckool007@mail.ru</v>
      </c>
      <c r="AI613" t="s">
        <v>203</v>
      </c>
      <c r="AJ613" t="s">
        <v>204</v>
      </c>
      <c r="AK613" t="s">
        <v>261</v>
      </c>
      <c r="AL613" t="s">
        <v>206</v>
      </c>
      <c r="AN613" t="s">
        <v>207</v>
      </c>
      <c r="AO613">
        <v>1</v>
      </c>
      <c r="AP613" t="s">
        <v>208</v>
      </c>
      <c r="AQ613" t="s">
        <v>209</v>
      </c>
      <c r="AR613" t="s">
        <v>307</v>
      </c>
      <c r="AW613" t="s">
        <v>206</v>
      </c>
      <c r="AX613" t="s">
        <v>211</v>
      </c>
      <c r="AZ613" t="s">
        <v>209</v>
      </c>
      <c r="BI613" t="s">
        <v>212</v>
      </c>
      <c r="BJ613" t="s">
        <v>213</v>
      </c>
      <c r="BK613" t="s">
        <v>214</v>
      </c>
      <c r="BL613" t="s">
        <v>215</v>
      </c>
      <c r="BN613" t="s">
        <v>247</v>
      </c>
      <c r="BO613" t="s">
        <v>209</v>
      </c>
      <c r="BP613" t="s">
        <v>217</v>
      </c>
      <c r="BQ613" t="s">
        <v>270</v>
      </c>
      <c r="BS613" t="s">
        <v>219</v>
      </c>
      <c r="BT613" t="s">
        <v>220</v>
      </c>
      <c r="BU613" t="s">
        <v>206</v>
      </c>
      <c r="BX613" t="s">
        <v>234</v>
      </c>
      <c r="BY613" t="s">
        <v>234</v>
      </c>
      <c r="CA613" t="s">
        <v>263</v>
      </c>
      <c r="CB613" t="s">
        <v>223</v>
      </c>
      <c r="CC613" t="s">
        <v>209</v>
      </c>
      <c r="CE613" t="s">
        <v>225</v>
      </c>
      <c r="CF613" t="s">
        <v>226</v>
      </c>
      <c r="CG613" t="s">
        <v>343</v>
      </c>
      <c r="CH613" t="s">
        <v>228</v>
      </c>
      <c r="CI613" t="s">
        <v>1709</v>
      </c>
      <c r="CJ613" t="s">
        <v>206</v>
      </c>
      <c r="CK613" t="s">
        <v>230</v>
      </c>
      <c r="CL613" t="s">
        <v>231</v>
      </c>
      <c r="CM613" t="s">
        <v>232</v>
      </c>
      <c r="CN613" t="s">
        <v>233</v>
      </c>
      <c r="CP613" t="s">
        <v>212</v>
      </c>
      <c r="CQ613" t="s">
        <v>212</v>
      </c>
      <c r="CR613" t="s">
        <v>212</v>
      </c>
      <c r="CS613" t="s">
        <v>212</v>
      </c>
      <c r="CY613" t="s">
        <v>212</v>
      </c>
      <c r="DB613" t="s">
        <v>234</v>
      </c>
      <c r="DE613" t="s">
        <v>212</v>
      </c>
      <c r="DF613" t="s">
        <v>212</v>
      </c>
      <c r="DG613" t="s">
        <v>235</v>
      </c>
      <c r="DH613" t="s">
        <v>212</v>
      </c>
      <c r="DJ613" t="s">
        <v>236</v>
      </c>
      <c r="DM613" t="s">
        <v>212</v>
      </c>
    </row>
    <row r="614" spans="1:117" x14ac:dyDescent="0.3">
      <c r="A614">
        <v>340337</v>
      </c>
      <c r="B614">
        <v>307755</v>
      </c>
      <c r="C614" t="str">
        <f>"090920650083"</f>
        <v>090920650083</v>
      </c>
      <c r="D614" t="s">
        <v>866</v>
      </c>
      <c r="E614" t="s">
        <v>312</v>
      </c>
      <c r="F614" t="s">
        <v>1710</v>
      </c>
      <c r="G614" s="1">
        <v>40076</v>
      </c>
      <c r="I614" t="s">
        <v>199</v>
      </c>
      <c r="J614" t="s">
        <v>200</v>
      </c>
      <c r="K614" t="s">
        <v>201</v>
      </c>
      <c r="R614" t="str">
        <f>"АНДОРРА, АКМОЛИНСКАЯ, СТЕПНОГОРСК, 86, 75"</f>
        <v>АНДОРРА, АКМОЛИНСКАЯ, СТЕПНОГОРСК, 86, 75</v>
      </c>
      <c r="S614" t="str">
        <f>"АНДОРРА, АҚМОЛА, СТЕПНОГОР, 86, 75"</f>
        <v>АНДОРРА, АҚМОЛА, СТЕПНОГОР, 86, 75</v>
      </c>
      <c r="T614" t="str">
        <f>"86, 75"</f>
        <v>86, 75</v>
      </c>
      <c r="U614" t="str">
        <f>"86, 75"</f>
        <v>86, 75</v>
      </c>
      <c r="AC614" t="str">
        <f>"2016-09-01T00:00:00"</f>
        <v>2016-09-01T00:00:00</v>
      </c>
      <c r="AD614" t="str">
        <f>"1"</f>
        <v>1</v>
      </c>
      <c r="AG614" t="s">
        <v>202</v>
      </c>
      <c r="AH614" t="str">
        <f>"ckool007@mail.ru"</f>
        <v>ckool007@mail.ru</v>
      </c>
      <c r="AI614" t="s">
        <v>203</v>
      </c>
      <c r="AJ614" t="s">
        <v>286</v>
      </c>
      <c r="AK614" t="s">
        <v>205</v>
      </c>
      <c r="AL614" t="s">
        <v>206</v>
      </c>
      <c r="AN614" t="s">
        <v>207</v>
      </c>
      <c r="AO614">
        <v>1</v>
      </c>
      <c r="AP614" t="s">
        <v>208</v>
      </c>
      <c r="AQ614" t="s">
        <v>209</v>
      </c>
      <c r="AR614" t="s">
        <v>210</v>
      </c>
      <c r="AW614" t="s">
        <v>206</v>
      </c>
      <c r="AX614" t="s">
        <v>211</v>
      </c>
      <c r="AZ614" t="s">
        <v>209</v>
      </c>
      <c r="BI614" t="s">
        <v>212</v>
      </c>
      <c r="BJ614" t="s">
        <v>213</v>
      </c>
      <c r="BK614" t="s">
        <v>214</v>
      </c>
      <c r="BL614" t="s">
        <v>215</v>
      </c>
      <c r="BN614" t="s">
        <v>281</v>
      </c>
      <c r="BO614" t="s">
        <v>209</v>
      </c>
      <c r="BP614" t="s">
        <v>241</v>
      </c>
      <c r="BQ614">
        <v>5</v>
      </c>
      <c r="BS614" t="s">
        <v>219</v>
      </c>
      <c r="BT614" t="s">
        <v>220</v>
      </c>
      <c r="BU614" t="s">
        <v>206</v>
      </c>
      <c r="BX614" t="s">
        <v>221</v>
      </c>
      <c r="BY614" t="s">
        <v>221</v>
      </c>
      <c r="CA614" t="s">
        <v>256</v>
      </c>
      <c r="CB614" t="s">
        <v>223</v>
      </c>
      <c r="CC614" t="s">
        <v>209</v>
      </c>
      <c r="CE614" t="s">
        <v>242</v>
      </c>
      <c r="CJ614" t="s">
        <v>206</v>
      </c>
      <c r="CK614" t="s">
        <v>230</v>
      </c>
      <c r="CL614" t="s">
        <v>231</v>
      </c>
      <c r="CM614" t="s">
        <v>232</v>
      </c>
      <c r="CN614" t="s">
        <v>233</v>
      </c>
      <c r="CP614" t="s">
        <v>212</v>
      </c>
      <c r="CQ614" t="s">
        <v>212</v>
      </c>
      <c r="CR614" t="s">
        <v>212</v>
      </c>
      <c r="CS614" t="s">
        <v>212</v>
      </c>
      <c r="CY614" t="s">
        <v>212</v>
      </c>
      <c r="DB614" t="s">
        <v>234</v>
      </c>
      <c r="DE614" t="s">
        <v>212</v>
      </c>
      <c r="DF614" t="s">
        <v>212</v>
      </c>
      <c r="DG614" t="s">
        <v>235</v>
      </c>
      <c r="DH614" t="s">
        <v>212</v>
      </c>
      <c r="DJ614" t="s">
        <v>236</v>
      </c>
      <c r="DM614" t="s">
        <v>212</v>
      </c>
    </row>
    <row r="615" spans="1:117" x14ac:dyDescent="0.3">
      <c r="A615">
        <v>340165</v>
      </c>
      <c r="B615">
        <v>307598</v>
      </c>
      <c r="C615" t="str">
        <f>"100325550770"</f>
        <v>100325550770</v>
      </c>
      <c r="D615" t="s">
        <v>1711</v>
      </c>
      <c r="E615" t="s">
        <v>289</v>
      </c>
      <c r="F615" t="s">
        <v>1045</v>
      </c>
      <c r="G615" s="1">
        <v>40262</v>
      </c>
      <c r="I615" t="s">
        <v>240</v>
      </c>
      <c r="J615" t="s">
        <v>200</v>
      </c>
      <c r="K615" t="s">
        <v>260</v>
      </c>
      <c r="R615" t="str">
        <f>"КАЗАХСТАН, АКМОЛИНСКАЯ, СТЕПНОГОРСК, 19, 55"</f>
        <v>КАЗАХСТАН, АКМОЛИНСКАЯ, СТЕПНОГОРСК, 19, 55</v>
      </c>
      <c r="S615" t="str">
        <f>"ҚАЗАҚСТАН, АҚМОЛА, СТЕПНОГОР, 19, 55"</f>
        <v>ҚАЗАҚСТАН, АҚМОЛА, СТЕПНОГОР, 19, 55</v>
      </c>
      <c r="T615" t="str">
        <f>"19, 55"</f>
        <v>19, 55</v>
      </c>
      <c r="U615" t="str">
        <f>"19, 55"</f>
        <v>19, 55</v>
      </c>
      <c r="AC615" t="str">
        <f>"2016-09-01T00:00:00"</f>
        <v>2016-09-01T00:00:00</v>
      </c>
      <c r="AD615" t="str">
        <f>"1"</f>
        <v>1</v>
      </c>
      <c r="AG615" t="s">
        <v>202</v>
      </c>
      <c r="AI615" t="s">
        <v>299</v>
      </c>
      <c r="AJ615" t="s">
        <v>300</v>
      </c>
      <c r="AK615" t="s">
        <v>246</v>
      </c>
      <c r="AL615" t="s">
        <v>206</v>
      </c>
      <c r="AN615" t="s">
        <v>207</v>
      </c>
      <c r="AO615">
        <v>1</v>
      </c>
      <c r="AP615" t="s">
        <v>208</v>
      </c>
      <c r="AQ615" t="s">
        <v>209</v>
      </c>
      <c r="AR615" t="s">
        <v>210</v>
      </c>
      <c r="AW615" t="s">
        <v>206</v>
      </c>
      <c r="AX615" t="s">
        <v>211</v>
      </c>
      <c r="AZ615" t="s">
        <v>209</v>
      </c>
      <c r="BI615" t="s">
        <v>212</v>
      </c>
      <c r="BJ615" t="s">
        <v>213</v>
      </c>
      <c r="BK615" t="s">
        <v>214</v>
      </c>
      <c r="BL615" t="s">
        <v>215</v>
      </c>
      <c r="BN615" t="s">
        <v>216</v>
      </c>
      <c r="BO615" t="s">
        <v>209</v>
      </c>
      <c r="BP615" t="s">
        <v>241</v>
      </c>
      <c r="BQ615">
        <v>4</v>
      </c>
      <c r="BS615" t="s">
        <v>219</v>
      </c>
      <c r="BT615" t="s">
        <v>220</v>
      </c>
      <c r="BU615" t="s">
        <v>206</v>
      </c>
      <c r="BX615" t="s">
        <v>221</v>
      </c>
      <c r="BY615" t="s">
        <v>221</v>
      </c>
      <c r="CA615" t="s">
        <v>222</v>
      </c>
      <c r="CB615" t="s">
        <v>223</v>
      </c>
      <c r="CC615" t="s">
        <v>222</v>
      </c>
      <c r="CD615" t="s">
        <v>223</v>
      </c>
      <c r="CE615" t="s">
        <v>242</v>
      </c>
      <c r="CJ615" t="s">
        <v>206</v>
      </c>
      <c r="CK615" t="s">
        <v>230</v>
      </c>
      <c r="CL615" t="s">
        <v>231</v>
      </c>
      <c r="CM615" t="s">
        <v>232</v>
      </c>
      <c r="CN615" t="s">
        <v>233</v>
      </c>
      <c r="CP615" t="s">
        <v>212</v>
      </c>
      <c r="CQ615" t="s">
        <v>212</v>
      </c>
      <c r="CR615" t="s">
        <v>212</v>
      </c>
      <c r="CS615" t="s">
        <v>212</v>
      </c>
      <c r="CY615" t="s">
        <v>212</v>
      </c>
      <c r="DB615" t="s">
        <v>234</v>
      </c>
      <c r="DE615" t="s">
        <v>212</v>
      </c>
      <c r="DF615" t="s">
        <v>212</v>
      </c>
      <c r="DG615" t="s">
        <v>235</v>
      </c>
      <c r="DH615" t="s">
        <v>212</v>
      </c>
      <c r="DJ615" t="s">
        <v>236</v>
      </c>
      <c r="DM615" t="s">
        <v>212</v>
      </c>
    </row>
    <row r="616" spans="1:117" x14ac:dyDescent="0.3">
      <c r="A616">
        <v>340146</v>
      </c>
      <c r="B616">
        <v>42591</v>
      </c>
      <c r="C616" t="str">
        <f>"100307552828"</f>
        <v>100307552828</v>
      </c>
      <c r="D616" t="s">
        <v>1219</v>
      </c>
      <c r="E616" t="s">
        <v>1712</v>
      </c>
      <c r="F616" t="s">
        <v>1713</v>
      </c>
      <c r="G616" s="1">
        <v>40244</v>
      </c>
      <c r="I616" t="s">
        <v>240</v>
      </c>
      <c r="J616" t="s">
        <v>200</v>
      </c>
      <c r="K616" t="s">
        <v>201</v>
      </c>
      <c r="R616" t="str">
        <f>"АНДОРРА, АКМОЛИНСКАЯ, СТЕПНОГОРСК, 6"</f>
        <v>АНДОРРА, АКМОЛИНСКАЯ, СТЕПНОГОРСК, 6</v>
      </c>
      <c r="S616" t="str">
        <f>"АНДОРРА, АҚМОЛА, СТЕПНОГОР, 6"</f>
        <v>АНДОРРА, АҚМОЛА, СТЕПНОГОР, 6</v>
      </c>
      <c r="T616" t="str">
        <f>"6"</f>
        <v>6</v>
      </c>
      <c r="U616" t="str">
        <f>"6"</f>
        <v>6</v>
      </c>
      <c r="AC616" t="str">
        <f>"2018-09-03T00:00:00"</f>
        <v>2018-09-03T00:00:00</v>
      </c>
      <c r="AD616" t="str">
        <f>"143"</f>
        <v>143</v>
      </c>
      <c r="AG616" t="s">
        <v>333</v>
      </c>
      <c r="AH616" t="str">
        <f>"ckool007@mail.ru"</f>
        <v>ckool007@mail.ru</v>
      </c>
      <c r="AI616" t="s">
        <v>299</v>
      </c>
      <c r="AJ616" t="s">
        <v>286</v>
      </c>
      <c r="AK616" t="s">
        <v>253</v>
      </c>
      <c r="AL616" t="s">
        <v>206</v>
      </c>
      <c r="AN616" t="s">
        <v>254</v>
      </c>
      <c r="AO616">
        <v>1</v>
      </c>
      <c r="AP616" t="s">
        <v>208</v>
      </c>
      <c r="AQ616" t="s">
        <v>209</v>
      </c>
      <c r="AR616" t="s">
        <v>210</v>
      </c>
      <c r="AV616" t="str">
        <f>"2021-01-25T00:32:50"</f>
        <v>2021-01-25T00:32:50</v>
      </c>
      <c r="AW616" t="s">
        <v>206</v>
      </c>
      <c r="AX616" t="s">
        <v>211</v>
      </c>
      <c r="AZ616" t="s">
        <v>209</v>
      </c>
      <c r="BI616" t="s">
        <v>212</v>
      </c>
      <c r="BJ616" t="s">
        <v>213</v>
      </c>
      <c r="BK616" t="s">
        <v>214</v>
      </c>
      <c r="BL616" t="s">
        <v>215</v>
      </c>
      <c r="BN616" t="s">
        <v>247</v>
      </c>
      <c r="BO616" t="s">
        <v>209</v>
      </c>
      <c r="BP616" t="s">
        <v>241</v>
      </c>
      <c r="BQ616">
        <v>3</v>
      </c>
      <c r="BS616" t="s">
        <v>219</v>
      </c>
      <c r="BT616" t="s">
        <v>220</v>
      </c>
      <c r="BU616" t="s">
        <v>206</v>
      </c>
      <c r="BX616" t="s">
        <v>221</v>
      </c>
      <c r="BY616" t="s">
        <v>221</v>
      </c>
      <c r="CA616" t="s">
        <v>256</v>
      </c>
      <c r="CB616" t="s">
        <v>223</v>
      </c>
      <c r="CC616" t="s">
        <v>209</v>
      </c>
      <c r="CE616" t="s">
        <v>242</v>
      </c>
      <c r="CJ616" t="s">
        <v>206</v>
      </c>
      <c r="CK616" t="s">
        <v>230</v>
      </c>
      <c r="CL616" t="s">
        <v>231</v>
      </c>
      <c r="CM616" t="s">
        <v>232</v>
      </c>
      <c r="CN616" t="s">
        <v>233</v>
      </c>
      <c r="CP616" t="s">
        <v>212</v>
      </c>
      <c r="CQ616" t="s">
        <v>212</v>
      </c>
      <c r="CR616" t="s">
        <v>212</v>
      </c>
      <c r="CS616" t="s">
        <v>212</v>
      </c>
      <c r="CY616" t="s">
        <v>212</v>
      </c>
      <c r="DB616" t="s">
        <v>234</v>
      </c>
      <c r="DE616" t="s">
        <v>212</v>
      </c>
      <c r="DF616" t="s">
        <v>212</v>
      </c>
      <c r="DG616" t="s">
        <v>235</v>
      </c>
      <c r="DH616" t="s">
        <v>212</v>
      </c>
      <c r="DJ616" t="s">
        <v>236</v>
      </c>
      <c r="DM616" t="s">
        <v>206</v>
      </c>
    </row>
    <row r="617" spans="1:117" x14ac:dyDescent="0.3">
      <c r="A617">
        <v>340116</v>
      </c>
      <c r="B617">
        <v>307559</v>
      </c>
      <c r="C617" t="str">
        <f>"090307650388"</f>
        <v>090307650388</v>
      </c>
      <c r="D617" t="s">
        <v>1714</v>
      </c>
      <c r="E617" t="s">
        <v>279</v>
      </c>
      <c r="F617" t="s">
        <v>406</v>
      </c>
      <c r="G617" s="1">
        <v>39879</v>
      </c>
      <c r="I617" t="s">
        <v>199</v>
      </c>
      <c r="J617" t="s">
        <v>200</v>
      </c>
      <c r="K617" t="s">
        <v>260</v>
      </c>
      <c r="Q617" t="s">
        <v>212</v>
      </c>
      <c r="R617" t="str">
        <f>"КАЗАХСТАН, АКМОЛИНСКАЯ, СТЕПНОГОРСК, 79, 32"</f>
        <v>КАЗАХСТАН, АКМОЛИНСКАЯ, СТЕПНОГОРСК, 79, 32</v>
      </c>
      <c r="S617" t="str">
        <f>"ҚАЗАҚСТАН, АҚМОЛА, СТЕПНОГОР, 79, 32"</f>
        <v>ҚАЗАҚСТАН, АҚМОЛА, СТЕПНОГОР, 79, 32</v>
      </c>
      <c r="T617" t="str">
        <f>"79, 32"</f>
        <v>79, 32</v>
      </c>
      <c r="U617" t="str">
        <f>"79, 32"</f>
        <v>79, 32</v>
      </c>
      <c r="AC617" t="str">
        <f>"2016-09-01T00:00:00"</f>
        <v>2016-09-01T00:00:00</v>
      </c>
      <c r="AD617" t="str">
        <f>"1"</f>
        <v>1</v>
      </c>
      <c r="AE617" t="str">
        <f>"2023-09-01T17:31:51"</f>
        <v>2023-09-01T17:31:51</v>
      </c>
      <c r="AF617" t="str">
        <f>"2024-05-25T17:31:51"</f>
        <v>2024-05-25T17:31:51</v>
      </c>
      <c r="AG617" t="s">
        <v>202</v>
      </c>
      <c r="AH617" t="str">
        <f>"ckool007@mail.ru"</f>
        <v>ckool007@mail.ru</v>
      </c>
      <c r="AI617" t="s">
        <v>203</v>
      </c>
      <c r="AJ617" t="s">
        <v>286</v>
      </c>
      <c r="AK617" t="s">
        <v>205</v>
      </c>
      <c r="AL617" t="s">
        <v>206</v>
      </c>
      <c r="AN617" t="s">
        <v>207</v>
      </c>
      <c r="AO617">
        <v>1</v>
      </c>
      <c r="AP617" t="s">
        <v>208</v>
      </c>
      <c r="AQ617" t="s">
        <v>209</v>
      </c>
      <c r="AR617" t="s">
        <v>210</v>
      </c>
      <c r="AV617" t="str">
        <f>"2021-01-25T00:34:36"</f>
        <v>2021-01-25T00:34:36</v>
      </c>
      <c r="AW617" t="s">
        <v>206</v>
      </c>
      <c r="AX617" t="s">
        <v>211</v>
      </c>
      <c r="AZ617" t="s">
        <v>209</v>
      </c>
      <c r="BI617" t="s">
        <v>212</v>
      </c>
      <c r="BJ617" t="s">
        <v>213</v>
      </c>
      <c r="BK617" t="s">
        <v>214</v>
      </c>
      <c r="BL617" t="s">
        <v>357</v>
      </c>
      <c r="BN617" t="s">
        <v>216</v>
      </c>
      <c r="BO617" t="s">
        <v>209</v>
      </c>
      <c r="BP617" t="s">
        <v>241</v>
      </c>
      <c r="BQ617">
        <v>4</v>
      </c>
      <c r="BS617" t="s">
        <v>219</v>
      </c>
      <c r="BT617" t="s">
        <v>220</v>
      </c>
      <c r="BU617" t="s">
        <v>206</v>
      </c>
      <c r="BX617" t="s">
        <v>221</v>
      </c>
      <c r="BY617" t="s">
        <v>221</v>
      </c>
      <c r="CA617" t="s">
        <v>263</v>
      </c>
      <c r="CB617" t="s">
        <v>223</v>
      </c>
      <c r="CC617" t="s">
        <v>209</v>
      </c>
      <c r="CE617" t="s">
        <v>242</v>
      </c>
      <c r="CJ617" t="s">
        <v>206</v>
      </c>
      <c r="CK617" t="s">
        <v>230</v>
      </c>
      <c r="CL617" t="s">
        <v>231</v>
      </c>
      <c r="CM617" t="s">
        <v>232</v>
      </c>
      <c r="CN617" t="s">
        <v>233</v>
      </c>
      <c r="CP617" t="s">
        <v>212</v>
      </c>
      <c r="CQ617" t="s">
        <v>206</v>
      </c>
      <c r="CR617" t="s">
        <v>212</v>
      </c>
      <c r="CS617" t="s">
        <v>212</v>
      </c>
      <c r="CY617" t="s">
        <v>212</v>
      </c>
      <c r="DB617" t="s">
        <v>234</v>
      </c>
      <c r="DE617" t="s">
        <v>212</v>
      </c>
      <c r="DF617" t="s">
        <v>212</v>
      </c>
      <c r="DG617" t="s">
        <v>235</v>
      </c>
      <c r="DH617" t="s">
        <v>212</v>
      </c>
      <c r="DJ617" t="s">
        <v>1715</v>
      </c>
      <c r="DK617" t="s">
        <v>422</v>
      </c>
      <c r="DL617" t="s">
        <v>423</v>
      </c>
      <c r="DM617" t="s">
        <v>212</v>
      </c>
    </row>
    <row r="618" spans="1:117" x14ac:dyDescent="0.3">
      <c r="A618">
        <v>340087</v>
      </c>
      <c r="B618">
        <v>307531</v>
      </c>
      <c r="C618" t="str">
        <f>"080416654480"</f>
        <v>080416654480</v>
      </c>
      <c r="D618" t="s">
        <v>1716</v>
      </c>
      <c r="E618" t="s">
        <v>351</v>
      </c>
      <c r="F618" t="s">
        <v>921</v>
      </c>
      <c r="G618" s="1">
        <v>39554</v>
      </c>
      <c r="I618" t="s">
        <v>199</v>
      </c>
      <c r="J618" t="s">
        <v>200</v>
      </c>
      <c r="K618" t="s">
        <v>260</v>
      </c>
      <c r="R618" t="str">
        <f>"АНДОРРА, АКМОЛИНСКАЯ, СТЕПНОГОРСК, -, 67, 18"</f>
        <v>АНДОРРА, АКМОЛИНСКАЯ, СТЕПНОГОРСК, -, 67, 18</v>
      </c>
      <c r="S618" t="str">
        <f>"АНДОРРА, АҚМОЛА, СТЕПНОГОР, -, 67, 18"</f>
        <v>АНДОРРА, АҚМОЛА, СТЕПНОГОР, -, 67, 18</v>
      </c>
      <c r="T618" t="str">
        <f>"-, 67, 18"</f>
        <v>-, 67, 18</v>
      </c>
      <c r="U618" t="str">
        <f>"-, 67, 18"</f>
        <v>-, 67, 18</v>
      </c>
      <c r="AC618" t="str">
        <f>"2015-09-01T00:00:00"</f>
        <v>2015-09-01T00:00:00</v>
      </c>
      <c r="AD618" t="str">
        <f>"1"</f>
        <v>1</v>
      </c>
      <c r="AG618" t="s">
        <v>202</v>
      </c>
      <c r="AH618" t="str">
        <f>"ckool007@mail.ru"</f>
        <v>ckool007@mail.ru</v>
      </c>
      <c r="AI618" t="s">
        <v>203</v>
      </c>
      <c r="AJ618" t="s">
        <v>204</v>
      </c>
      <c r="AK618" t="s">
        <v>205</v>
      </c>
      <c r="AL618" t="s">
        <v>206</v>
      </c>
      <c r="AN618" t="s">
        <v>207</v>
      </c>
      <c r="AO618">
        <v>1</v>
      </c>
      <c r="AP618" t="s">
        <v>208</v>
      </c>
      <c r="AQ618" t="s">
        <v>209</v>
      </c>
      <c r="AR618" t="s">
        <v>210</v>
      </c>
      <c r="AW618" t="s">
        <v>206</v>
      </c>
      <c r="AX618" t="s">
        <v>211</v>
      </c>
      <c r="AZ618" t="s">
        <v>209</v>
      </c>
      <c r="BI618" t="s">
        <v>212</v>
      </c>
      <c r="BJ618" t="s">
        <v>213</v>
      </c>
      <c r="BK618" t="s">
        <v>214</v>
      </c>
      <c r="BL618" t="s">
        <v>215</v>
      </c>
      <c r="BN618" t="s">
        <v>247</v>
      </c>
      <c r="BO618" t="s">
        <v>209</v>
      </c>
      <c r="BP618" t="s">
        <v>217</v>
      </c>
      <c r="BQ618" t="s">
        <v>270</v>
      </c>
      <c r="BS618" t="s">
        <v>219</v>
      </c>
      <c r="BT618" t="s">
        <v>220</v>
      </c>
      <c r="BU618" t="s">
        <v>206</v>
      </c>
      <c r="BX618" t="s">
        <v>221</v>
      </c>
      <c r="BY618" t="s">
        <v>221</v>
      </c>
      <c r="CA618" t="s">
        <v>222</v>
      </c>
      <c r="CB618" t="s">
        <v>223</v>
      </c>
      <c r="CC618" t="s">
        <v>209</v>
      </c>
      <c r="CE618" t="s">
        <v>225</v>
      </c>
      <c r="CF618" t="s">
        <v>226</v>
      </c>
      <c r="CG618" t="s">
        <v>227</v>
      </c>
      <c r="CH618" t="s">
        <v>228</v>
      </c>
      <c r="CI618" t="s">
        <v>1717</v>
      </c>
      <c r="CJ618" t="s">
        <v>206</v>
      </c>
      <c r="CK618" t="s">
        <v>230</v>
      </c>
      <c r="CL618" t="s">
        <v>231</v>
      </c>
      <c r="CM618" t="s">
        <v>232</v>
      </c>
      <c r="CN618" t="s">
        <v>233</v>
      </c>
      <c r="CP618" t="s">
        <v>212</v>
      </c>
      <c r="CQ618" t="s">
        <v>212</v>
      </c>
      <c r="CR618" t="s">
        <v>212</v>
      </c>
      <c r="CS618" t="s">
        <v>212</v>
      </c>
      <c r="CY618" t="s">
        <v>212</v>
      </c>
      <c r="DB618" t="s">
        <v>234</v>
      </c>
      <c r="DE618" t="s">
        <v>212</v>
      </c>
      <c r="DF618" t="s">
        <v>212</v>
      </c>
      <c r="DG618" t="s">
        <v>235</v>
      </c>
      <c r="DH618" t="s">
        <v>212</v>
      </c>
      <c r="DJ618" t="s">
        <v>236</v>
      </c>
      <c r="DM618" t="s">
        <v>212</v>
      </c>
    </row>
    <row r="619" spans="1:117" x14ac:dyDescent="0.3">
      <c r="A619">
        <v>340059</v>
      </c>
      <c r="B619">
        <v>307506</v>
      </c>
      <c r="C619" t="str">
        <f>"091230552878"</f>
        <v>091230552878</v>
      </c>
      <c r="D619" t="s">
        <v>1718</v>
      </c>
      <c r="E619" t="s">
        <v>828</v>
      </c>
      <c r="F619" t="s">
        <v>843</v>
      </c>
      <c r="G619" s="1">
        <v>40177</v>
      </c>
      <c r="I619" t="s">
        <v>240</v>
      </c>
      <c r="J619" t="s">
        <v>200</v>
      </c>
      <c r="K619" t="s">
        <v>260</v>
      </c>
      <c r="R619" t="str">
        <f>"АНДОРРА, АКМОЛИНСКАЯ, СТЕПНОГОРСК, 19, 33"</f>
        <v>АНДОРРА, АКМОЛИНСКАЯ, СТЕПНОГОРСК, 19, 33</v>
      </c>
      <c r="S619" t="str">
        <f>"АНДОРРА, АҚМОЛА, СТЕПНОГОР, 19, 33"</f>
        <v>АНДОРРА, АҚМОЛА, СТЕПНОГОР, 19, 33</v>
      </c>
      <c r="T619" t="str">
        <f>"19, 33"</f>
        <v>19, 33</v>
      </c>
      <c r="U619" t="str">
        <f>"19, 33"</f>
        <v>19, 33</v>
      </c>
      <c r="AC619" t="str">
        <f>"2016-09-01T00:00:00"</f>
        <v>2016-09-01T00:00:00</v>
      </c>
      <c r="AD619" t="str">
        <f>"1"</f>
        <v>1</v>
      </c>
      <c r="AG619" t="s">
        <v>202</v>
      </c>
      <c r="AH619" t="str">
        <f>"ckool007@mail.ru"</f>
        <v>ckool007@mail.ru</v>
      </c>
      <c r="AI619" t="s">
        <v>203</v>
      </c>
      <c r="AJ619" t="s">
        <v>286</v>
      </c>
      <c r="AK619" t="s">
        <v>246</v>
      </c>
      <c r="AL619" t="s">
        <v>206</v>
      </c>
      <c r="AN619" t="s">
        <v>207</v>
      </c>
      <c r="AO619">
        <v>1</v>
      </c>
      <c r="AP619" t="s">
        <v>208</v>
      </c>
      <c r="AQ619" t="s">
        <v>209</v>
      </c>
      <c r="AR619" t="s">
        <v>210</v>
      </c>
      <c r="AW619" t="s">
        <v>206</v>
      </c>
      <c r="AX619" t="s">
        <v>211</v>
      </c>
      <c r="AZ619" t="s">
        <v>209</v>
      </c>
      <c r="BI619" t="s">
        <v>212</v>
      </c>
      <c r="BJ619" t="s">
        <v>213</v>
      </c>
      <c r="BK619" t="s">
        <v>214</v>
      </c>
      <c r="BL619" t="s">
        <v>215</v>
      </c>
      <c r="BN619" t="s">
        <v>247</v>
      </c>
      <c r="BO619" t="s">
        <v>209</v>
      </c>
      <c r="BP619" t="s">
        <v>241</v>
      </c>
      <c r="BQ619">
        <v>3</v>
      </c>
      <c r="BS619" t="s">
        <v>219</v>
      </c>
      <c r="BT619" t="s">
        <v>220</v>
      </c>
      <c r="BU619" t="s">
        <v>206</v>
      </c>
      <c r="BX619" t="s">
        <v>221</v>
      </c>
      <c r="BY619" t="s">
        <v>221</v>
      </c>
      <c r="CA619" t="s">
        <v>365</v>
      </c>
      <c r="CB619" t="s">
        <v>223</v>
      </c>
      <c r="CC619" t="s">
        <v>209</v>
      </c>
      <c r="CE619" t="s">
        <v>242</v>
      </c>
      <c r="CJ619" t="s">
        <v>206</v>
      </c>
      <c r="CK619" t="s">
        <v>291</v>
      </c>
      <c r="CM619" t="s">
        <v>292</v>
      </c>
      <c r="CN619" t="s">
        <v>233</v>
      </c>
      <c r="CP619" t="s">
        <v>212</v>
      </c>
      <c r="CQ619" t="s">
        <v>212</v>
      </c>
      <c r="CR619" t="s">
        <v>212</v>
      </c>
      <c r="CS619" t="s">
        <v>212</v>
      </c>
      <c r="CY619" t="s">
        <v>212</v>
      </c>
      <c r="DB619" t="s">
        <v>234</v>
      </c>
      <c r="DE619" t="s">
        <v>212</v>
      </c>
      <c r="DF619" t="s">
        <v>212</v>
      </c>
      <c r="DG619" t="s">
        <v>235</v>
      </c>
      <c r="DH619" t="s">
        <v>212</v>
      </c>
      <c r="DJ619" t="s">
        <v>236</v>
      </c>
      <c r="DM619" t="s">
        <v>212</v>
      </c>
    </row>
    <row r="620" spans="1:117" x14ac:dyDescent="0.3">
      <c r="A620">
        <v>340031</v>
      </c>
      <c r="B620">
        <v>307480</v>
      </c>
      <c r="C620" t="str">
        <f>"100617550565"</f>
        <v>100617550565</v>
      </c>
      <c r="D620" t="s">
        <v>1719</v>
      </c>
      <c r="E620" t="s">
        <v>1720</v>
      </c>
      <c r="F620" t="s">
        <v>521</v>
      </c>
      <c r="G620" s="1">
        <v>40346</v>
      </c>
      <c r="I620" t="s">
        <v>240</v>
      </c>
      <c r="J620" t="s">
        <v>200</v>
      </c>
      <c r="K620" t="s">
        <v>260</v>
      </c>
      <c r="R620" t="str">
        <f>"КАЗАХСТАН, АКМОЛИНСКАЯ, СТЕПНОГОРСК, 12, 77"</f>
        <v>КАЗАХСТАН, АКМОЛИНСКАЯ, СТЕПНОГОРСК, 12, 77</v>
      </c>
      <c r="S620" t="str">
        <f>"ҚАЗАҚСТАН, АҚМОЛА, СТЕПНОГОР, 12, 77"</f>
        <v>ҚАЗАҚСТАН, АҚМОЛА, СТЕПНОГОР, 12, 77</v>
      </c>
      <c r="T620" t="str">
        <f>"12, 77"</f>
        <v>12, 77</v>
      </c>
      <c r="U620" t="str">
        <f>"12, 77"</f>
        <v>12, 77</v>
      </c>
      <c r="AC620" t="str">
        <f>"2017-08-29T00:00:00"</f>
        <v>2017-08-29T00:00:00</v>
      </c>
      <c r="AD620" t="str">
        <f>"112"</f>
        <v>112</v>
      </c>
      <c r="AG620" t="s">
        <v>202</v>
      </c>
      <c r="AI620" t="s">
        <v>299</v>
      </c>
      <c r="AJ620" t="s">
        <v>300</v>
      </c>
      <c r="AK620" t="s">
        <v>246</v>
      </c>
      <c r="AL620" t="s">
        <v>206</v>
      </c>
      <c r="AN620" t="s">
        <v>207</v>
      </c>
      <c r="AO620">
        <v>1</v>
      </c>
      <c r="AP620" t="s">
        <v>208</v>
      </c>
      <c r="AQ620" t="s">
        <v>209</v>
      </c>
      <c r="AR620" t="s">
        <v>210</v>
      </c>
      <c r="AW620" t="s">
        <v>206</v>
      </c>
      <c r="AX620" t="s">
        <v>211</v>
      </c>
      <c r="AZ620" t="s">
        <v>209</v>
      </c>
      <c r="BI620" t="s">
        <v>212</v>
      </c>
      <c r="BJ620" t="s">
        <v>213</v>
      </c>
      <c r="BK620" t="s">
        <v>214</v>
      </c>
      <c r="BL620" t="s">
        <v>215</v>
      </c>
      <c r="BN620" t="s">
        <v>247</v>
      </c>
      <c r="BO620" t="s">
        <v>209</v>
      </c>
      <c r="BP620" t="s">
        <v>241</v>
      </c>
      <c r="BQ620">
        <v>4</v>
      </c>
      <c r="BS620" t="s">
        <v>219</v>
      </c>
      <c r="BT620" t="s">
        <v>220</v>
      </c>
      <c r="BU620" t="s">
        <v>206</v>
      </c>
      <c r="BX620" t="s">
        <v>221</v>
      </c>
      <c r="BY620" t="s">
        <v>221</v>
      </c>
      <c r="CA620" t="s">
        <v>222</v>
      </c>
      <c r="CB620" t="s">
        <v>223</v>
      </c>
      <c r="CC620" t="s">
        <v>222</v>
      </c>
      <c r="CD620" t="s">
        <v>223</v>
      </c>
      <c r="CE620" t="s">
        <v>242</v>
      </c>
      <c r="CJ620" t="s">
        <v>206</v>
      </c>
      <c r="CK620" t="s">
        <v>230</v>
      </c>
      <c r="CL620" t="s">
        <v>231</v>
      </c>
      <c r="CM620" t="s">
        <v>232</v>
      </c>
      <c r="CN620" t="s">
        <v>233</v>
      </c>
      <c r="CP620" t="s">
        <v>212</v>
      </c>
      <c r="CQ620" t="s">
        <v>212</v>
      </c>
      <c r="CR620" t="s">
        <v>212</v>
      </c>
      <c r="CS620" t="s">
        <v>212</v>
      </c>
      <c r="CY620" t="s">
        <v>212</v>
      </c>
      <c r="DB620" t="s">
        <v>234</v>
      </c>
      <c r="DE620" t="s">
        <v>212</v>
      </c>
      <c r="DF620" t="s">
        <v>212</v>
      </c>
      <c r="DG620" t="s">
        <v>235</v>
      </c>
      <c r="DH620" t="s">
        <v>212</v>
      </c>
      <c r="DJ620" t="s">
        <v>236</v>
      </c>
      <c r="DM620" t="s">
        <v>212</v>
      </c>
    </row>
    <row r="621" spans="1:117" x14ac:dyDescent="0.3">
      <c r="A621">
        <v>340000</v>
      </c>
      <c r="B621">
        <v>307451</v>
      </c>
      <c r="C621" t="str">
        <f>"100601651844"</f>
        <v>100601651844</v>
      </c>
      <c r="D621" t="s">
        <v>1721</v>
      </c>
      <c r="E621" t="s">
        <v>773</v>
      </c>
      <c r="F621" t="s">
        <v>1722</v>
      </c>
      <c r="G621" s="1">
        <v>40330</v>
      </c>
      <c r="I621" t="s">
        <v>199</v>
      </c>
      <c r="J621" t="s">
        <v>200</v>
      </c>
      <c r="K621" t="s">
        <v>201</v>
      </c>
      <c r="R621" t="str">
        <f>"АНДОРРА, АКМОЛИНСКАЯ, СТЕПНОГОРСК, 54, 7"</f>
        <v>АНДОРРА, АКМОЛИНСКАЯ, СТЕПНОГОРСК, 54, 7</v>
      </c>
      <c r="S621" t="str">
        <f>"АНДОРРА, АҚМОЛА, СТЕПНОГОР, 54, 7"</f>
        <v>АНДОРРА, АҚМОЛА, СТЕПНОГОР, 54, 7</v>
      </c>
      <c r="T621" t="str">
        <f>"54, 7"</f>
        <v>54, 7</v>
      </c>
      <c r="U621" t="str">
        <f>"54, 7"</f>
        <v>54, 7</v>
      </c>
      <c r="AC621" t="str">
        <f>"2016-09-01T00:00:00"</f>
        <v>2016-09-01T00:00:00</v>
      </c>
      <c r="AD621" t="str">
        <f>"1"</f>
        <v>1</v>
      </c>
      <c r="AG621" t="s">
        <v>202</v>
      </c>
      <c r="AI621" t="s">
        <v>203</v>
      </c>
      <c r="AJ621" t="s">
        <v>300</v>
      </c>
      <c r="AK621" t="s">
        <v>261</v>
      </c>
      <c r="AL621" t="s">
        <v>206</v>
      </c>
      <c r="AN621" t="s">
        <v>207</v>
      </c>
      <c r="AO621">
        <v>1</v>
      </c>
      <c r="AP621" t="s">
        <v>208</v>
      </c>
      <c r="AQ621" t="s">
        <v>209</v>
      </c>
      <c r="AR621" t="s">
        <v>210</v>
      </c>
      <c r="AW621" t="s">
        <v>206</v>
      </c>
      <c r="AX621" t="s">
        <v>211</v>
      </c>
      <c r="AZ621" t="s">
        <v>209</v>
      </c>
      <c r="BI621" t="s">
        <v>212</v>
      </c>
      <c r="BJ621" t="s">
        <v>213</v>
      </c>
      <c r="BK621" t="s">
        <v>214</v>
      </c>
      <c r="BL621" t="s">
        <v>215</v>
      </c>
      <c r="BN621" t="s">
        <v>216</v>
      </c>
      <c r="BO621" t="s">
        <v>209</v>
      </c>
      <c r="BP621" t="s">
        <v>241</v>
      </c>
      <c r="BQ621">
        <v>4</v>
      </c>
      <c r="BS621" t="s">
        <v>219</v>
      </c>
      <c r="BT621" t="s">
        <v>220</v>
      </c>
      <c r="BU621" t="s">
        <v>206</v>
      </c>
      <c r="BX621" t="s">
        <v>221</v>
      </c>
      <c r="BY621" t="s">
        <v>221</v>
      </c>
      <c r="CA621" t="s">
        <v>263</v>
      </c>
      <c r="CB621" t="s">
        <v>223</v>
      </c>
      <c r="CC621" t="s">
        <v>222</v>
      </c>
      <c r="CD621" t="s">
        <v>223</v>
      </c>
      <c r="CE621" t="s">
        <v>225</v>
      </c>
      <c r="CF621" t="s">
        <v>226</v>
      </c>
      <c r="CG621" t="s">
        <v>227</v>
      </c>
      <c r="CH621" t="s">
        <v>209</v>
      </c>
      <c r="CI621" t="s">
        <v>1723</v>
      </c>
      <c r="CJ621" t="s">
        <v>206</v>
      </c>
      <c r="CK621" t="s">
        <v>230</v>
      </c>
      <c r="CL621" t="s">
        <v>231</v>
      </c>
      <c r="CM621" t="s">
        <v>232</v>
      </c>
      <c r="CN621" t="s">
        <v>233</v>
      </c>
      <c r="CP621" t="s">
        <v>212</v>
      </c>
      <c r="CQ621" t="s">
        <v>212</v>
      </c>
      <c r="CR621" t="s">
        <v>212</v>
      </c>
      <c r="CS621" t="s">
        <v>212</v>
      </c>
      <c r="CY621" t="s">
        <v>212</v>
      </c>
      <c r="DB621" t="s">
        <v>234</v>
      </c>
      <c r="DE621" t="s">
        <v>212</v>
      </c>
      <c r="DF621" t="s">
        <v>212</v>
      </c>
      <c r="DG621" t="s">
        <v>235</v>
      </c>
      <c r="DH621" t="s">
        <v>212</v>
      </c>
      <c r="DJ621" t="s">
        <v>236</v>
      </c>
      <c r="DM621" t="s">
        <v>212</v>
      </c>
    </row>
    <row r="622" spans="1:117" x14ac:dyDescent="0.3">
      <c r="A622">
        <v>339864</v>
      </c>
      <c r="B622">
        <v>307341</v>
      </c>
      <c r="C622" t="str">
        <f>"080601554638"</f>
        <v>080601554638</v>
      </c>
      <c r="D622" t="s">
        <v>1724</v>
      </c>
      <c r="E622" t="s">
        <v>402</v>
      </c>
      <c r="F622" t="s">
        <v>843</v>
      </c>
      <c r="G622" s="1">
        <v>39600</v>
      </c>
      <c r="I622" t="s">
        <v>240</v>
      </c>
      <c r="J622" t="s">
        <v>200</v>
      </c>
      <c r="K622" t="s">
        <v>260</v>
      </c>
      <c r="R622" t="str">
        <f>"АНДОРРА, АКМОЛИНСКАЯ, СТЕПНОГОРСК, 33, 69"</f>
        <v>АНДОРРА, АКМОЛИНСКАЯ, СТЕПНОГОРСК, 33, 69</v>
      </c>
      <c r="S622" t="str">
        <f>"АНДОРРА, АҚМОЛА, СТЕПНОГОР, 33, 69"</f>
        <v>АНДОРРА, АҚМОЛА, СТЕПНОГОР, 33, 69</v>
      </c>
      <c r="T622" t="str">
        <f>"33, 69"</f>
        <v>33, 69</v>
      </c>
      <c r="U622" t="str">
        <f>"33, 69"</f>
        <v>33, 69</v>
      </c>
      <c r="AC622" t="str">
        <f>"2015-09-01T00:00:00"</f>
        <v>2015-09-01T00:00:00</v>
      </c>
      <c r="AD622" t="str">
        <f>"1"</f>
        <v>1</v>
      </c>
      <c r="AG622" t="s">
        <v>202</v>
      </c>
      <c r="AH622" t="str">
        <f t="shared" ref="AH622:AH634" si="25">"ckool007@mail.ru"</f>
        <v>ckool007@mail.ru</v>
      </c>
      <c r="AI622" t="s">
        <v>203</v>
      </c>
      <c r="AJ622" t="s">
        <v>204</v>
      </c>
      <c r="AK622" t="s">
        <v>205</v>
      </c>
      <c r="AL622" t="s">
        <v>206</v>
      </c>
      <c r="AN622" t="s">
        <v>207</v>
      </c>
      <c r="AO622">
        <v>1</v>
      </c>
      <c r="AP622" t="s">
        <v>208</v>
      </c>
      <c r="AQ622" t="s">
        <v>209</v>
      </c>
      <c r="AR622" t="s">
        <v>210</v>
      </c>
      <c r="AW622" t="s">
        <v>206</v>
      </c>
      <c r="AX622" t="s">
        <v>211</v>
      </c>
      <c r="AZ622" t="s">
        <v>209</v>
      </c>
      <c r="BI622" t="s">
        <v>212</v>
      </c>
      <c r="BJ622" t="s">
        <v>213</v>
      </c>
      <c r="BK622" t="s">
        <v>214</v>
      </c>
      <c r="BL622" t="s">
        <v>215</v>
      </c>
      <c r="BN622" t="s">
        <v>216</v>
      </c>
      <c r="BO622" t="s">
        <v>209</v>
      </c>
      <c r="BP622" t="s">
        <v>241</v>
      </c>
      <c r="BQ622">
        <v>4</v>
      </c>
      <c r="BS622" t="s">
        <v>219</v>
      </c>
      <c r="BT622" t="s">
        <v>220</v>
      </c>
      <c r="BU622" t="s">
        <v>206</v>
      </c>
      <c r="BX622" t="s">
        <v>221</v>
      </c>
      <c r="BY622" t="s">
        <v>221</v>
      </c>
      <c r="CA622" t="s">
        <v>222</v>
      </c>
      <c r="CB622" t="s">
        <v>223</v>
      </c>
      <c r="CC622" t="s">
        <v>301</v>
      </c>
      <c r="CD622" t="s">
        <v>223</v>
      </c>
      <c r="CE622" t="s">
        <v>242</v>
      </c>
      <c r="CJ622" t="s">
        <v>206</v>
      </c>
      <c r="CK622" t="s">
        <v>230</v>
      </c>
      <c r="CL622" t="s">
        <v>231</v>
      </c>
      <c r="CM622" t="s">
        <v>232</v>
      </c>
      <c r="CN622" t="s">
        <v>233</v>
      </c>
      <c r="CP622" t="s">
        <v>212</v>
      </c>
      <c r="CQ622" t="s">
        <v>212</v>
      </c>
      <c r="CR622" t="s">
        <v>212</v>
      </c>
      <c r="CS622" t="s">
        <v>212</v>
      </c>
      <c r="CY622" t="s">
        <v>212</v>
      </c>
      <c r="DB622" t="s">
        <v>234</v>
      </c>
      <c r="DE622" t="s">
        <v>212</v>
      </c>
      <c r="DF622" t="s">
        <v>212</v>
      </c>
      <c r="DG622" t="s">
        <v>235</v>
      </c>
      <c r="DH622" t="s">
        <v>212</v>
      </c>
      <c r="DJ622" t="s">
        <v>236</v>
      </c>
      <c r="DM622" t="s">
        <v>212</v>
      </c>
    </row>
    <row r="623" spans="1:117" x14ac:dyDescent="0.3">
      <c r="A623">
        <v>339833</v>
      </c>
      <c r="B623">
        <v>307314</v>
      </c>
      <c r="C623" t="str">
        <f>"081009550590"</f>
        <v>081009550590</v>
      </c>
      <c r="D623" t="s">
        <v>1725</v>
      </c>
      <c r="E623" t="s">
        <v>860</v>
      </c>
      <c r="F623" t="s">
        <v>1045</v>
      </c>
      <c r="G623" s="1">
        <v>39730</v>
      </c>
      <c r="I623" t="s">
        <v>240</v>
      </c>
      <c r="J623" t="s">
        <v>200</v>
      </c>
      <c r="K623" t="s">
        <v>268</v>
      </c>
      <c r="R623" t="str">
        <f>"АНДОРРА, АКМОЛИНСКАЯ, СТЕПНОГОРСК, 85, 107"</f>
        <v>АНДОРРА, АКМОЛИНСКАЯ, СТЕПНОГОРСК, 85, 107</v>
      </c>
      <c r="S623" t="str">
        <f>"АНДОРРА, АҚМОЛА, СТЕПНОГОР, 85, 107"</f>
        <v>АНДОРРА, АҚМОЛА, СТЕПНОГОР, 85, 107</v>
      </c>
      <c r="T623" t="str">
        <f>"85, 107"</f>
        <v>85, 107</v>
      </c>
      <c r="U623" t="str">
        <f>"85, 107"</f>
        <v>85, 107</v>
      </c>
      <c r="AC623" t="str">
        <f>"2015-09-01T00:00:00"</f>
        <v>2015-09-01T00:00:00</v>
      </c>
      <c r="AD623" t="str">
        <f>"1"</f>
        <v>1</v>
      </c>
      <c r="AG623" t="s">
        <v>202</v>
      </c>
      <c r="AH623" t="str">
        <f t="shared" si="25"/>
        <v>ckool007@mail.ru</v>
      </c>
      <c r="AI623" t="s">
        <v>203</v>
      </c>
      <c r="AJ623" t="s">
        <v>204</v>
      </c>
      <c r="AK623" t="s">
        <v>205</v>
      </c>
      <c r="AL623" t="s">
        <v>206</v>
      </c>
      <c r="AN623" t="s">
        <v>207</v>
      </c>
      <c r="AO623">
        <v>1</v>
      </c>
      <c r="AP623" t="s">
        <v>208</v>
      </c>
      <c r="AQ623" t="s">
        <v>209</v>
      </c>
      <c r="AR623" t="s">
        <v>210</v>
      </c>
      <c r="AW623" t="s">
        <v>206</v>
      </c>
      <c r="AX623" t="s">
        <v>211</v>
      </c>
      <c r="AZ623" t="s">
        <v>209</v>
      </c>
      <c r="BI623" t="s">
        <v>212</v>
      </c>
      <c r="BJ623" t="s">
        <v>213</v>
      </c>
      <c r="BK623" t="s">
        <v>214</v>
      </c>
      <c r="BL623" t="s">
        <v>215</v>
      </c>
      <c r="BN623" t="s">
        <v>247</v>
      </c>
      <c r="BO623" t="s">
        <v>209</v>
      </c>
      <c r="BP623" t="s">
        <v>241</v>
      </c>
      <c r="BQ623">
        <v>3</v>
      </c>
      <c r="BS623" t="s">
        <v>219</v>
      </c>
      <c r="BT623" t="s">
        <v>220</v>
      </c>
      <c r="BU623" t="s">
        <v>206</v>
      </c>
      <c r="BX623" t="s">
        <v>234</v>
      </c>
      <c r="BY623" t="s">
        <v>234</v>
      </c>
      <c r="CA623" t="s">
        <v>222</v>
      </c>
      <c r="CB623" t="s">
        <v>223</v>
      </c>
      <c r="CC623" t="s">
        <v>256</v>
      </c>
      <c r="CD623" t="s">
        <v>223</v>
      </c>
      <c r="CE623" t="s">
        <v>242</v>
      </c>
      <c r="CJ623" t="s">
        <v>206</v>
      </c>
      <c r="CK623" t="s">
        <v>230</v>
      </c>
      <c r="CL623" t="s">
        <v>231</v>
      </c>
      <c r="CM623" t="s">
        <v>232</v>
      </c>
      <c r="CN623" t="s">
        <v>233</v>
      </c>
      <c r="CP623" t="s">
        <v>212</v>
      </c>
      <c r="CQ623" t="s">
        <v>212</v>
      </c>
      <c r="CR623" t="s">
        <v>212</v>
      </c>
      <c r="CS623" t="s">
        <v>212</v>
      </c>
      <c r="CY623" t="s">
        <v>212</v>
      </c>
      <c r="DB623" t="s">
        <v>234</v>
      </c>
      <c r="DE623" t="s">
        <v>212</v>
      </c>
      <c r="DF623" t="s">
        <v>212</v>
      </c>
      <c r="DG623" t="s">
        <v>235</v>
      </c>
      <c r="DH623" t="s">
        <v>212</v>
      </c>
      <c r="DJ623" t="s">
        <v>236</v>
      </c>
      <c r="DM623" t="s">
        <v>212</v>
      </c>
    </row>
    <row r="624" spans="1:117" x14ac:dyDescent="0.3">
      <c r="A624">
        <v>339807</v>
      </c>
      <c r="B624">
        <v>307289</v>
      </c>
      <c r="C624" t="str">
        <f>"090810650184"</f>
        <v>090810650184</v>
      </c>
      <c r="D624" t="s">
        <v>1516</v>
      </c>
      <c r="E624" t="s">
        <v>920</v>
      </c>
      <c r="F624" t="s">
        <v>406</v>
      </c>
      <c r="G624" s="1">
        <v>40035</v>
      </c>
      <c r="I624" t="s">
        <v>199</v>
      </c>
      <c r="J624" t="s">
        <v>200</v>
      </c>
      <c r="K624" t="s">
        <v>260</v>
      </c>
      <c r="R624" t="str">
        <f>"АНДОРРА, АКМОЛИНСКАЯ, СТЕПНОГОРСК, 15, 117"</f>
        <v>АНДОРРА, АКМОЛИНСКАЯ, СТЕПНОГОРСК, 15, 117</v>
      </c>
      <c r="S624" t="str">
        <f>"АНДОРРА, АҚМОЛА, СТЕПНОГОР, 15, 117"</f>
        <v>АНДОРРА, АҚМОЛА, СТЕПНОГОР, 15, 117</v>
      </c>
      <c r="T624" t="str">
        <f>"15, 117"</f>
        <v>15, 117</v>
      </c>
      <c r="U624" t="str">
        <f>"15, 117"</f>
        <v>15, 117</v>
      </c>
      <c r="AC624" t="str">
        <f>"2016-09-01T00:00:00"</f>
        <v>2016-09-01T00:00:00</v>
      </c>
      <c r="AD624" t="str">
        <f>"1"</f>
        <v>1</v>
      </c>
      <c r="AG624" t="s">
        <v>202</v>
      </c>
      <c r="AH624" t="str">
        <f t="shared" si="25"/>
        <v>ckool007@mail.ru</v>
      </c>
      <c r="AI624" t="s">
        <v>203</v>
      </c>
      <c r="AJ624" t="s">
        <v>286</v>
      </c>
      <c r="AK624" t="s">
        <v>261</v>
      </c>
      <c r="AL624" t="s">
        <v>206</v>
      </c>
      <c r="AN624" t="s">
        <v>207</v>
      </c>
      <c r="AO624">
        <v>1</v>
      </c>
      <c r="AP624" t="s">
        <v>208</v>
      </c>
      <c r="AQ624" t="s">
        <v>209</v>
      </c>
      <c r="AR624" t="s">
        <v>210</v>
      </c>
      <c r="AW624" t="s">
        <v>206</v>
      </c>
      <c r="AX624" t="s">
        <v>211</v>
      </c>
      <c r="AZ624" t="s">
        <v>209</v>
      </c>
      <c r="BI624" t="s">
        <v>212</v>
      </c>
      <c r="BJ624" t="s">
        <v>213</v>
      </c>
      <c r="BK624" t="s">
        <v>214</v>
      </c>
      <c r="BL624" t="s">
        <v>215</v>
      </c>
      <c r="BN624" t="s">
        <v>247</v>
      </c>
      <c r="BO624" t="s">
        <v>209</v>
      </c>
      <c r="BP624" t="s">
        <v>241</v>
      </c>
      <c r="BQ624">
        <v>3</v>
      </c>
      <c r="BS624" t="s">
        <v>219</v>
      </c>
      <c r="BT624" t="s">
        <v>220</v>
      </c>
      <c r="BU624" t="s">
        <v>206</v>
      </c>
      <c r="BX624" t="s">
        <v>221</v>
      </c>
      <c r="BY624" t="s">
        <v>221</v>
      </c>
      <c r="CA624" t="s">
        <v>287</v>
      </c>
      <c r="CC624" t="s">
        <v>209</v>
      </c>
      <c r="CE624" t="s">
        <v>242</v>
      </c>
      <c r="CJ624" t="s">
        <v>206</v>
      </c>
      <c r="CK624" t="s">
        <v>230</v>
      </c>
      <c r="CL624" t="s">
        <v>231</v>
      </c>
      <c r="CM624" t="s">
        <v>232</v>
      </c>
      <c r="CN624" t="s">
        <v>233</v>
      </c>
      <c r="CP624" t="s">
        <v>212</v>
      </c>
      <c r="CQ624" t="s">
        <v>212</v>
      </c>
      <c r="CR624" t="s">
        <v>212</v>
      </c>
      <c r="CS624" t="s">
        <v>212</v>
      </c>
      <c r="CY624" t="s">
        <v>212</v>
      </c>
      <c r="DB624" t="s">
        <v>234</v>
      </c>
      <c r="DE624" t="s">
        <v>212</v>
      </c>
      <c r="DF624" t="s">
        <v>212</v>
      </c>
      <c r="DG624" t="s">
        <v>235</v>
      </c>
      <c r="DH624" t="s">
        <v>212</v>
      </c>
      <c r="DJ624" t="s">
        <v>236</v>
      </c>
      <c r="DM624" t="s">
        <v>212</v>
      </c>
    </row>
    <row r="625" spans="1:117" x14ac:dyDescent="0.3">
      <c r="A625">
        <v>339790</v>
      </c>
      <c r="B625">
        <v>183618</v>
      </c>
      <c r="C625" t="str">
        <f>"090509550598"</f>
        <v>090509550598</v>
      </c>
      <c r="D625" t="s">
        <v>1159</v>
      </c>
      <c r="E625" t="s">
        <v>828</v>
      </c>
      <c r="F625" t="s">
        <v>942</v>
      </c>
      <c r="G625" s="1">
        <v>39942</v>
      </c>
      <c r="I625" t="s">
        <v>240</v>
      </c>
      <c r="J625" t="s">
        <v>200</v>
      </c>
      <c r="K625" t="s">
        <v>268</v>
      </c>
      <c r="R625" t="str">
        <f>"АНДОРРА, АКМОЛИНСКАЯ, СТЕПНОГОРСК, СТЕПНОГОРСК, 17, 27"</f>
        <v>АНДОРРА, АКМОЛИНСКАЯ, СТЕПНОГОРСК, СТЕПНОГОРСК, 17, 27</v>
      </c>
      <c r="S625" t="str">
        <f>"АНДОРРА, АҚМОЛА, СТЕПНОГОР, СТЕПНОГОРСК, 17, 27"</f>
        <v>АНДОРРА, АҚМОЛА, СТЕПНОГОР, СТЕПНОГОРСК, 17, 27</v>
      </c>
      <c r="T625" t="str">
        <f>"СТЕПНОГОРСК, 17, 27"</f>
        <v>СТЕПНОГОРСК, 17, 27</v>
      </c>
      <c r="U625" t="str">
        <f>"СТЕПНОГОРСК, 17, 27"</f>
        <v>СТЕПНОГОРСК, 17, 27</v>
      </c>
      <c r="AC625" t="str">
        <f>"2018-08-29T00:00:00"</f>
        <v>2018-08-29T00:00:00</v>
      </c>
      <c r="AD625" t="str">
        <f>"141"</f>
        <v>141</v>
      </c>
      <c r="AG625" t="s">
        <v>333</v>
      </c>
      <c r="AH625" t="str">
        <f t="shared" si="25"/>
        <v>ckool007@mail.ru</v>
      </c>
      <c r="AI625" t="s">
        <v>274</v>
      </c>
      <c r="AJ625" t="s">
        <v>286</v>
      </c>
      <c r="AK625" t="s">
        <v>261</v>
      </c>
      <c r="AL625" t="s">
        <v>206</v>
      </c>
      <c r="AN625" t="s">
        <v>207</v>
      </c>
      <c r="AO625">
        <v>1</v>
      </c>
      <c r="AP625" t="s">
        <v>208</v>
      </c>
      <c r="AQ625" t="s">
        <v>209</v>
      </c>
      <c r="AR625" t="s">
        <v>210</v>
      </c>
      <c r="AW625" t="s">
        <v>206</v>
      </c>
      <c r="AX625" t="s">
        <v>211</v>
      </c>
      <c r="AZ625" t="s">
        <v>209</v>
      </c>
      <c r="BI625" t="s">
        <v>212</v>
      </c>
      <c r="BJ625" t="s">
        <v>213</v>
      </c>
      <c r="BK625" t="s">
        <v>214</v>
      </c>
      <c r="BL625" t="s">
        <v>215</v>
      </c>
      <c r="BN625" t="s">
        <v>247</v>
      </c>
      <c r="BO625" t="s">
        <v>209</v>
      </c>
      <c r="BP625" t="s">
        <v>241</v>
      </c>
      <c r="BQ625">
        <v>3</v>
      </c>
      <c r="BS625" t="s">
        <v>219</v>
      </c>
      <c r="BT625" t="s">
        <v>220</v>
      </c>
      <c r="BU625" t="s">
        <v>206</v>
      </c>
      <c r="BX625" t="s">
        <v>234</v>
      </c>
      <c r="BY625" t="s">
        <v>234</v>
      </c>
      <c r="CA625" t="s">
        <v>287</v>
      </c>
      <c r="CC625" t="s">
        <v>209</v>
      </c>
      <c r="CE625" t="s">
        <v>242</v>
      </c>
      <c r="CJ625" t="s">
        <v>206</v>
      </c>
      <c r="CK625" t="s">
        <v>230</v>
      </c>
      <c r="CL625" t="s">
        <v>231</v>
      </c>
      <c r="CM625" t="s">
        <v>232</v>
      </c>
      <c r="CN625" t="s">
        <v>233</v>
      </c>
      <c r="CP625" t="s">
        <v>212</v>
      </c>
      <c r="CQ625" t="s">
        <v>212</v>
      </c>
      <c r="CR625" t="s">
        <v>212</v>
      </c>
      <c r="CS625" t="s">
        <v>212</v>
      </c>
      <c r="CY625" t="s">
        <v>212</v>
      </c>
      <c r="DB625" t="s">
        <v>234</v>
      </c>
      <c r="DE625" t="s">
        <v>212</v>
      </c>
      <c r="DF625" t="s">
        <v>212</v>
      </c>
      <c r="DG625" t="s">
        <v>235</v>
      </c>
      <c r="DH625" t="s">
        <v>212</v>
      </c>
      <c r="DJ625" t="s">
        <v>236</v>
      </c>
      <c r="DM625" t="s">
        <v>212</v>
      </c>
    </row>
    <row r="626" spans="1:117" x14ac:dyDescent="0.3">
      <c r="A626">
        <v>339773</v>
      </c>
      <c r="B626">
        <v>307260</v>
      </c>
      <c r="C626" t="str">
        <f>"090310553035"</f>
        <v>090310553035</v>
      </c>
      <c r="D626" t="s">
        <v>1726</v>
      </c>
      <c r="E626" t="s">
        <v>548</v>
      </c>
      <c r="F626" t="s">
        <v>1727</v>
      </c>
      <c r="G626" s="1">
        <v>39882</v>
      </c>
      <c r="I626" t="s">
        <v>240</v>
      </c>
      <c r="J626" t="s">
        <v>200</v>
      </c>
      <c r="K626" t="s">
        <v>201</v>
      </c>
      <c r="R626" t="str">
        <f>"АНДОРРА, АКМОЛИНСКАЯ, СТЕПНОГОРСК, СТЕПНОГОРСК, 26, 40"</f>
        <v>АНДОРРА, АКМОЛИНСКАЯ, СТЕПНОГОРСК, СТЕПНОГОРСК, 26, 40</v>
      </c>
      <c r="S626" t="str">
        <f>"АНДОРРА, АҚМОЛА, СТЕПНОГОР, СТЕПНОГОРСК, 26, 40"</f>
        <v>АНДОРРА, АҚМОЛА, СТЕПНОГОР, СТЕПНОГОРСК, 26, 40</v>
      </c>
      <c r="T626" t="str">
        <f>"СТЕПНОГОРСК, 26, 40"</f>
        <v>СТЕПНОГОРСК, 26, 40</v>
      </c>
      <c r="U626" t="str">
        <f>"СТЕПНОГОРСК, 26, 40"</f>
        <v>СТЕПНОГОРСК, 26, 40</v>
      </c>
      <c r="AC626" t="str">
        <f>"2016-09-01T00:00:00"</f>
        <v>2016-09-01T00:00:00</v>
      </c>
      <c r="AD626" t="str">
        <f t="shared" ref="AD626:AD631" si="26">"1"</f>
        <v>1</v>
      </c>
      <c r="AG626" t="s">
        <v>202</v>
      </c>
      <c r="AH626" t="str">
        <f t="shared" si="25"/>
        <v>ckool007@mail.ru</v>
      </c>
      <c r="AI626" t="s">
        <v>203</v>
      </c>
      <c r="AJ626" t="s">
        <v>286</v>
      </c>
      <c r="AK626" t="s">
        <v>205</v>
      </c>
      <c r="AL626" t="s">
        <v>206</v>
      </c>
      <c r="AN626" t="s">
        <v>207</v>
      </c>
      <c r="AO626">
        <v>1</v>
      </c>
      <c r="AP626" t="s">
        <v>208</v>
      </c>
      <c r="AQ626" t="s">
        <v>209</v>
      </c>
      <c r="AR626" t="s">
        <v>210</v>
      </c>
      <c r="AW626" t="s">
        <v>206</v>
      </c>
      <c r="AX626" t="s">
        <v>211</v>
      </c>
      <c r="AZ626" t="s">
        <v>209</v>
      </c>
      <c r="BI626" t="s">
        <v>212</v>
      </c>
      <c r="BJ626" t="s">
        <v>213</v>
      </c>
      <c r="BK626" t="s">
        <v>214</v>
      </c>
      <c r="BL626" t="s">
        <v>215</v>
      </c>
      <c r="BN626" t="s">
        <v>216</v>
      </c>
      <c r="BO626" t="s">
        <v>209</v>
      </c>
      <c r="BP626" t="s">
        <v>241</v>
      </c>
      <c r="BQ626">
        <v>4</v>
      </c>
      <c r="BS626" t="s">
        <v>219</v>
      </c>
      <c r="BT626" t="s">
        <v>220</v>
      </c>
      <c r="BU626" t="s">
        <v>206</v>
      </c>
      <c r="BX626" t="s">
        <v>221</v>
      </c>
      <c r="BY626" t="s">
        <v>221</v>
      </c>
      <c r="CA626" t="s">
        <v>287</v>
      </c>
      <c r="CC626" t="s">
        <v>209</v>
      </c>
      <c r="CE626" t="s">
        <v>242</v>
      </c>
      <c r="CJ626" t="s">
        <v>206</v>
      </c>
      <c r="CK626" t="s">
        <v>230</v>
      </c>
      <c r="CL626" t="s">
        <v>231</v>
      </c>
      <c r="CM626" t="s">
        <v>232</v>
      </c>
      <c r="CN626" t="s">
        <v>233</v>
      </c>
      <c r="CP626" t="s">
        <v>212</v>
      </c>
      <c r="CQ626" t="s">
        <v>212</v>
      </c>
      <c r="CR626" t="s">
        <v>212</v>
      </c>
      <c r="CS626" t="s">
        <v>212</v>
      </c>
      <c r="CY626" t="s">
        <v>212</v>
      </c>
      <c r="DB626" t="s">
        <v>234</v>
      </c>
      <c r="DE626" t="s">
        <v>212</v>
      </c>
      <c r="DF626" t="s">
        <v>212</v>
      </c>
      <c r="DG626" t="s">
        <v>235</v>
      </c>
      <c r="DH626" t="s">
        <v>212</v>
      </c>
      <c r="DJ626" t="s">
        <v>236</v>
      </c>
      <c r="DM626" t="s">
        <v>212</v>
      </c>
    </row>
    <row r="627" spans="1:117" x14ac:dyDescent="0.3">
      <c r="A627">
        <v>339756</v>
      </c>
      <c r="B627">
        <v>307247</v>
      </c>
      <c r="C627" t="str">
        <f>"081017550485"</f>
        <v>081017550485</v>
      </c>
      <c r="D627" t="s">
        <v>1728</v>
      </c>
      <c r="E627" t="s">
        <v>819</v>
      </c>
      <c r="F627" t="s">
        <v>1729</v>
      </c>
      <c r="G627" s="1">
        <v>39738</v>
      </c>
      <c r="I627" t="s">
        <v>240</v>
      </c>
      <c r="J627" t="s">
        <v>200</v>
      </c>
      <c r="K627" t="s">
        <v>260</v>
      </c>
      <c r="R627" t="str">
        <f>"АНДОРРА, АКМОЛИНСКАЯ, СТЕПНОГОРСК, 43, 147"</f>
        <v>АНДОРРА, АКМОЛИНСКАЯ, СТЕПНОГОРСК, 43, 147</v>
      </c>
      <c r="S627" t="str">
        <f>"АНДОРРА, АҚМОЛА, СТЕПНОГОР, 43, 147"</f>
        <v>АНДОРРА, АҚМОЛА, СТЕПНОГОР, 43, 147</v>
      </c>
      <c r="T627" t="str">
        <f>"43, 147"</f>
        <v>43, 147</v>
      </c>
      <c r="U627" t="str">
        <f>"43, 147"</f>
        <v>43, 147</v>
      </c>
      <c r="AC627" t="str">
        <f>"2015-09-01T00:00:00"</f>
        <v>2015-09-01T00:00:00</v>
      </c>
      <c r="AD627" t="str">
        <f t="shared" si="26"/>
        <v>1</v>
      </c>
      <c r="AG627" t="s">
        <v>202</v>
      </c>
      <c r="AH627" t="str">
        <f t="shared" si="25"/>
        <v>ckool007@mail.ru</v>
      </c>
      <c r="AI627" t="s">
        <v>203</v>
      </c>
      <c r="AJ627" t="s">
        <v>204</v>
      </c>
      <c r="AK627" t="s">
        <v>205</v>
      </c>
      <c r="AL627" t="s">
        <v>206</v>
      </c>
      <c r="AN627" t="s">
        <v>207</v>
      </c>
      <c r="AO627">
        <v>1</v>
      </c>
      <c r="AP627" t="s">
        <v>208</v>
      </c>
      <c r="AQ627" t="s">
        <v>209</v>
      </c>
      <c r="AR627" t="s">
        <v>210</v>
      </c>
      <c r="AW627" t="s">
        <v>206</v>
      </c>
      <c r="AX627" t="s">
        <v>211</v>
      </c>
      <c r="AZ627" t="s">
        <v>209</v>
      </c>
      <c r="BI627" t="s">
        <v>212</v>
      </c>
      <c r="BJ627" t="s">
        <v>213</v>
      </c>
      <c r="BK627" t="s">
        <v>214</v>
      </c>
      <c r="BL627" t="s">
        <v>215</v>
      </c>
      <c r="BN627" t="s">
        <v>247</v>
      </c>
      <c r="BO627" t="s">
        <v>209</v>
      </c>
      <c r="BP627" t="s">
        <v>241</v>
      </c>
      <c r="BQ627">
        <v>3</v>
      </c>
      <c r="BS627" t="s">
        <v>219</v>
      </c>
      <c r="BT627" t="s">
        <v>220</v>
      </c>
      <c r="BU627" t="s">
        <v>206</v>
      </c>
      <c r="BX627" t="s">
        <v>221</v>
      </c>
      <c r="BY627" t="s">
        <v>221</v>
      </c>
      <c r="CA627" t="s">
        <v>222</v>
      </c>
      <c r="CB627" t="s">
        <v>223</v>
      </c>
      <c r="CC627" t="s">
        <v>209</v>
      </c>
      <c r="CE627" t="s">
        <v>242</v>
      </c>
      <c r="CJ627" t="s">
        <v>206</v>
      </c>
      <c r="CK627" t="s">
        <v>230</v>
      </c>
      <c r="CL627" t="s">
        <v>231</v>
      </c>
      <c r="CM627" t="s">
        <v>232</v>
      </c>
      <c r="CN627" t="s">
        <v>233</v>
      </c>
      <c r="CP627" t="s">
        <v>212</v>
      </c>
      <c r="CQ627" t="s">
        <v>212</v>
      </c>
      <c r="CR627" t="s">
        <v>212</v>
      </c>
      <c r="CS627" t="s">
        <v>212</v>
      </c>
      <c r="CY627" t="s">
        <v>212</v>
      </c>
      <c r="DB627" t="s">
        <v>234</v>
      </c>
      <c r="DE627" t="s">
        <v>212</v>
      </c>
      <c r="DF627" t="s">
        <v>212</v>
      </c>
      <c r="DG627" t="s">
        <v>235</v>
      </c>
      <c r="DH627" t="s">
        <v>212</v>
      </c>
      <c r="DJ627" t="s">
        <v>236</v>
      </c>
      <c r="DM627" t="s">
        <v>212</v>
      </c>
    </row>
    <row r="628" spans="1:117" x14ac:dyDescent="0.3">
      <c r="A628">
        <v>339706</v>
      </c>
      <c r="B628">
        <v>307196</v>
      </c>
      <c r="C628" t="str">
        <f>"080516655096"</f>
        <v>080516655096</v>
      </c>
      <c r="D628" t="s">
        <v>1730</v>
      </c>
      <c r="E628" t="s">
        <v>279</v>
      </c>
      <c r="F628" t="s">
        <v>1248</v>
      </c>
      <c r="G628" s="1">
        <v>39584</v>
      </c>
      <c r="I628" t="s">
        <v>199</v>
      </c>
      <c r="J628" t="s">
        <v>200</v>
      </c>
      <c r="K628" t="s">
        <v>260</v>
      </c>
      <c r="R628" t="str">
        <f>"АНДОРРА, АКМОЛИНСКАЯ, СТЕПНОГОРСК, 42, 59"</f>
        <v>АНДОРРА, АКМОЛИНСКАЯ, СТЕПНОГОРСК, 42, 59</v>
      </c>
      <c r="S628" t="str">
        <f>"АНДОРРА, АҚМОЛА, СТЕПНОГОР, 42, 59"</f>
        <v>АНДОРРА, АҚМОЛА, СТЕПНОГОР, 42, 59</v>
      </c>
      <c r="T628" t="str">
        <f>"42, 59"</f>
        <v>42, 59</v>
      </c>
      <c r="U628" t="str">
        <f>"42, 59"</f>
        <v>42, 59</v>
      </c>
      <c r="AC628" t="str">
        <f>"2015-09-01T00:00:00"</f>
        <v>2015-09-01T00:00:00</v>
      </c>
      <c r="AD628" t="str">
        <f t="shared" si="26"/>
        <v>1</v>
      </c>
      <c r="AG628" t="s">
        <v>202</v>
      </c>
      <c r="AH628" t="str">
        <f t="shared" si="25"/>
        <v>ckool007@mail.ru</v>
      </c>
      <c r="AI628" t="s">
        <v>203</v>
      </c>
      <c r="AJ628" t="s">
        <v>204</v>
      </c>
      <c r="AK628" t="s">
        <v>261</v>
      </c>
      <c r="AL628" t="s">
        <v>206</v>
      </c>
      <c r="AN628" t="s">
        <v>207</v>
      </c>
      <c r="AO628">
        <v>1</v>
      </c>
      <c r="AP628" t="s">
        <v>208</v>
      </c>
      <c r="AQ628" t="s">
        <v>209</v>
      </c>
      <c r="AR628" t="s">
        <v>210</v>
      </c>
      <c r="AW628" t="s">
        <v>206</v>
      </c>
      <c r="AX628" t="s">
        <v>211</v>
      </c>
      <c r="AZ628" t="s">
        <v>209</v>
      </c>
      <c r="BI628" t="s">
        <v>212</v>
      </c>
      <c r="BJ628" t="s">
        <v>213</v>
      </c>
      <c r="BK628" t="s">
        <v>214</v>
      </c>
      <c r="BL628" t="s">
        <v>215</v>
      </c>
      <c r="BN628" t="s">
        <v>216</v>
      </c>
      <c r="BO628" t="s">
        <v>209</v>
      </c>
      <c r="BP628" t="s">
        <v>241</v>
      </c>
      <c r="BQ628">
        <v>4</v>
      </c>
      <c r="BS628" t="s">
        <v>219</v>
      </c>
      <c r="BT628" t="s">
        <v>220</v>
      </c>
      <c r="BU628" t="s">
        <v>206</v>
      </c>
      <c r="BX628" t="s">
        <v>221</v>
      </c>
      <c r="BY628" t="s">
        <v>221</v>
      </c>
      <c r="CA628" t="s">
        <v>263</v>
      </c>
      <c r="CB628" t="s">
        <v>223</v>
      </c>
      <c r="CC628" t="s">
        <v>209</v>
      </c>
      <c r="CE628" t="s">
        <v>242</v>
      </c>
      <c r="CJ628" t="s">
        <v>206</v>
      </c>
      <c r="CK628" t="s">
        <v>230</v>
      </c>
      <c r="CL628" t="s">
        <v>231</v>
      </c>
      <c r="CM628" t="s">
        <v>232</v>
      </c>
      <c r="CN628" t="s">
        <v>233</v>
      </c>
      <c r="CP628" t="s">
        <v>212</v>
      </c>
      <c r="CQ628" t="s">
        <v>212</v>
      </c>
      <c r="CR628" t="s">
        <v>212</v>
      </c>
      <c r="CS628" t="s">
        <v>212</v>
      </c>
      <c r="CY628" t="s">
        <v>212</v>
      </c>
      <c r="DB628" t="s">
        <v>234</v>
      </c>
      <c r="DE628" t="s">
        <v>212</v>
      </c>
      <c r="DF628" t="s">
        <v>212</v>
      </c>
      <c r="DG628" t="s">
        <v>235</v>
      </c>
      <c r="DH628" t="s">
        <v>212</v>
      </c>
      <c r="DJ628" t="s">
        <v>236</v>
      </c>
      <c r="DM628" t="s">
        <v>212</v>
      </c>
    </row>
    <row r="629" spans="1:117" x14ac:dyDescent="0.3">
      <c r="A629">
        <v>339587</v>
      </c>
      <c r="B629">
        <v>307091</v>
      </c>
      <c r="C629" t="str">
        <f>"090703651993"</f>
        <v>090703651993</v>
      </c>
      <c r="D629" t="s">
        <v>1731</v>
      </c>
      <c r="E629" t="s">
        <v>279</v>
      </c>
      <c r="F629" t="s">
        <v>1732</v>
      </c>
      <c r="G629" s="1">
        <v>39997</v>
      </c>
      <c r="I629" t="s">
        <v>199</v>
      </c>
      <c r="J629" t="s">
        <v>200</v>
      </c>
      <c r="K629" t="s">
        <v>260</v>
      </c>
      <c r="R629" t="str">
        <f>"АНДОРРА, АКМОЛИНСКАЯ, СТЕПНОГОРСК, 18, 316"</f>
        <v>АНДОРРА, АКМОЛИНСКАЯ, СТЕПНОГОРСК, 18, 316</v>
      </c>
      <c r="S629" t="str">
        <f>"АНДОРРА, АҚМОЛА, СТЕПНОГОР, 18, 316"</f>
        <v>АНДОРРА, АҚМОЛА, СТЕПНОГОР, 18, 316</v>
      </c>
      <c r="T629" t="str">
        <f>"18, 316"</f>
        <v>18, 316</v>
      </c>
      <c r="U629" t="str">
        <f>"18, 316"</f>
        <v>18, 316</v>
      </c>
      <c r="AC629" t="str">
        <f>"2016-09-01T00:00:00"</f>
        <v>2016-09-01T00:00:00</v>
      </c>
      <c r="AD629" t="str">
        <f t="shared" si="26"/>
        <v>1</v>
      </c>
      <c r="AG629" t="s">
        <v>202</v>
      </c>
      <c r="AH629" t="str">
        <f t="shared" si="25"/>
        <v>ckool007@mail.ru</v>
      </c>
      <c r="AI629" t="s">
        <v>299</v>
      </c>
      <c r="AJ629" t="s">
        <v>286</v>
      </c>
      <c r="AK629" t="s">
        <v>205</v>
      </c>
      <c r="AL629" t="s">
        <v>206</v>
      </c>
      <c r="AN629" t="s">
        <v>207</v>
      </c>
      <c r="AO629">
        <v>1</v>
      </c>
      <c r="AP629" t="s">
        <v>208</v>
      </c>
      <c r="AQ629" t="s">
        <v>209</v>
      </c>
      <c r="AR629" t="s">
        <v>210</v>
      </c>
      <c r="AW629" t="s">
        <v>206</v>
      </c>
      <c r="AX629" t="s">
        <v>211</v>
      </c>
      <c r="AZ629" t="s">
        <v>209</v>
      </c>
      <c r="BI629" t="s">
        <v>212</v>
      </c>
      <c r="BJ629" t="s">
        <v>213</v>
      </c>
      <c r="BK629" t="s">
        <v>214</v>
      </c>
      <c r="BL629" t="s">
        <v>215</v>
      </c>
      <c r="BN629" t="s">
        <v>247</v>
      </c>
      <c r="BO629" t="s">
        <v>209</v>
      </c>
      <c r="BP629" t="s">
        <v>217</v>
      </c>
      <c r="BQ629" t="s">
        <v>329</v>
      </c>
      <c r="BS629" t="s">
        <v>219</v>
      </c>
      <c r="BT629" t="s">
        <v>220</v>
      </c>
      <c r="BU629" t="s">
        <v>206</v>
      </c>
      <c r="BX629" t="s">
        <v>221</v>
      </c>
      <c r="BY629" t="s">
        <v>221</v>
      </c>
      <c r="CA629" t="s">
        <v>287</v>
      </c>
      <c r="CC629" t="s">
        <v>222</v>
      </c>
      <c r="CD629" t="s">
        <v>223</v>
      </c>
      <c r="CE629" t="s">
        <v>242</v>
      </c>
      <c r="CJ629" t="s">
        <v>206</v>
      </c>
      <c r="CK629" t="s">
        <v>230</v>
      </c>
      <c r="CL629" t="s">
        <v>231</v>
      </c>
      <c r="CM629" t="s">
        <v>232</v>
      </c>
      <c r="CN629" t="s">
        <v>233</v>
      </c>
      <c r="CP629" t="s">
        <v>212</v>
      </c>
      <c r="CQ629" t="s">
        <v>212</v>
      </c>
      <c r="CR629" t="s">
        <v>212</v>
      </c>
      <c r="CS629" t="s">
        <v>212</v>
      </c>
      <c r="CY629" t="s">
        <v>212</v>
      </c>
      <c r="DB629" t="s">
        <v>234</v>
      </c>
      <c r="DE629" t="s">
        <v>212</v>
      </c>
      <c r="DF629" t="s">
        <v>212</v>
      </c>
      <c r="DG629" t="s">
        <v>235</v>
      </c>
      <c r="DH629" t="s">
        <v>212</v>
      </c>
      <c r="DJ629" t="s">
        <v>236</v>
      </c>
      <c r="DM629" t="s">
        <v>212</v>
      </c>
    </row>
    <row r="630" spans="1:117" x14ac:dyDescent="0.3">
      <c r="A630">
        <v>339503</v>
      </c>
      <c r="B630">
        <v>307018</v>
      </c>
      <c r="C630" t="str">
        <f>"071004552964"</f>
        <v>071004552964</v>
      </c>
      <c r="D630" t="s">
        <v>1733</v>
      </c>
      <c r="E630" t="s">
        <v>1734</v>
      </c>
      <c r="F630" t="s">
        <v>1735</v>
      </c>
      <c r="G630" s="1">
        <v>39359</v>
      </c>
      <c r="I630" t="s">
        <v>240</v>
      </c>
      <c r="J630" t="s">
        <v>200</v>
      </c>
      <c r="K630" t="s">
        <v>1736</v>
      </c>
      <c r="R630" t="str">
        <f>"АНДОРРА, АКМОЛИНСКАЯ, СТЕПНОГОРСК, 41, 28"</f>
        <v>АНДОРРА, АКМОЛИНСКАЯ, СТЕПНОГОРСК, 41, 28</v>
      </c>
      <c r="S630" t="str">
        <f>"АНДОРРА, АҚМОЛА, СТЕПНОГОР, 41, 28"</f>
        <v>АНДОРРА, АҚМОЛА, СТЕПНОГОР, 41, 28</v>
      </c>
      <c r="T630" t="str">
        <f>"41, 28"</f>
        <v>41, 28</v>
      </c>
      <c r="U630" t="str">
        <f>"41, 28"</f>
        <v>41, 28</v>
      </c>
      <c r="AC630" t="str">
        <f>"2015-09-01T00:00:00"</f>
        <v>2015-09-01T00:00:00</v>
      </c>
      <c r="AD630" t="str">
        <f t="shared" si="26"/>
        <v>1</v>
      </c>
      <c r="AG630" t="s">
        <v>202</v>
      </c>
      <c r="AH630" t="str">
        <f t="shared" si="25"/>
        <v>ckool007@mail.ru</v>
      </c>
      <c r="AI630" t="s">
        <v>203</v>
      </c>
      <c r="AJ630" t="s">
        <v>286</v>
      </c>
      <c r="AK630" t="s">
        <v>261</v>
      </c>
      <c r="AL630" t="s">
        <v>206</v>
      </c>
      <c r="AN630" t="s">
        <v>207</v>
      </c>
      <c r="AO630">
        <v>1</v>
      </c>
      <c r="AP630" t="s">
        <v>208</v>
      </c>
      <c r="AQ630" t="s">
        <v>209</v>
      </c>
      <c r="AR630" t="s">
        <v>210</v>
      </c>
      <c r="AW630" t="s">
        <v>206</v>
      </c>
      <c r="AX630" t="s">
        <v>211</v>
      </c>
      <c r="AZ630" t="s">
        <v>209</v>
      </c>
      <c r="BI630" t="s">
        <v>212</v>
      </c>
      <c r="BJ630" t="s">
        <v>213</v>
      </c>
      <c r="BK630" t="s">
        <v>214</v>
      </c>
      <c r="BL630" t="s">
        <v>215</v>
      </c>
      <c r="BN630" t="s">
        <v>247</v>
      </c>
      <c r="BO630" t="s">
        <v>209</v>
      </c>
      <c r="BP630" t="s">
        <v>241</v>
      </c>
      <c r="BQ630">
        <v>3</v>
      </c>
      <c r="BS630" t="s">
        <v>219</v>
      </c>
      <c r="BT630" t="s">
        <v>220</v>
      </c>
      <c r="BU630" t="s">
        <v>206</v>
      </c>
      <c r="BX630" t="s">
        <v>234</v>
      </c>
      <c r="BY630" t="s">
        <v>234</v>
      </c>
      <c r="CA630" t="s">
        <v>287</v>
      </c>
      <c r="CC630" t="s">
        <v>209</v>
      </c>
      <c r="CE630" t="s">
        <v>242</v>
      </c>
      <c r="CJ630" t="s">
        <v>206</v>
      </c>
      <c r="CK630" t="s">
        <v>230</v>
      </c>
      <c r="CL630" t="s">
        <v>231</v>
      </c>
      <c r="CM630" t="s">
        <v>232</v>
      </c>
      <c r="CN630" t="s">
        <v>233</v>
      </c>
      <c r="CP630" t="s">
        <v>212</v>
      </c>
      <c r="CQ630" t="s">
        <v>212</v>
      </c>
      <c r="CR630" t="s">
        <v>212</v>
      </c>
      <c r="CS630" t="s">
        <v>212</v>
      </c>
      <c r="CY630" t="s">
        <v>212</v>
      </c>
      <c r="DB630" t="s">
        <v>234</v>
      </c>
      <c r="DE630" t="s">
        <v>212</v>
      </c>
      <c r="DF630" t="s">
        <v>212</v>
      </c>
      <c r="DG630" t="s">
        <v>235</v>
      </c>
      <c r="DH630" t="s">
        <v>212</v>
      </c>
      <c r="DJ630" t="s">
        <v>236</v>
      </c>
      <c r="DM630" t="s">
        <v>212</v>
      </c>
    </row>
    <row r="631" spans="1:117" x14ac:dyDescent="0.3">
      <c r="A631">
        <v>339353</v>
      </c>
      <c r="B631">
        <v>306888</v>
      </c>
      <c r="C631" t="str">
        <f>"100120551477"</f>
        <v>100120551477</v>
      </c>
      <c r="D631" t="s">
        <v>1737</v>
      </c>
      <c r="E631" t="s">
        <v>1091</v>
      </c>
      <c r="F631" t="s">
        <v>1738</v>
      </c>
      <c r="G631" s="1">
        <v>40198</v>
      </c>
      <c r="I631" t="s">
        <v>240</v>
      </c>
      <c r="J631" t="s">
        <v>200</v>
      </c>
      <c r="K631" t="s">
        <v>260</v>
      </c>
      <c r="R631" t="str">
        <f>"АНДОРРА, АКМОЛИНСКАЯ, СТЕПНОГОРСК, СТЕПНОГОРСК, 27, 16"</f>
        <v>АНДОРРА, АКМОЛИНСКАЯ, СТЕПНОГОРСК, СТЕПНОГОРСК, 27, 16</v>
      </c>
      <c r="S631" t="str">
        <f>"АНДОРРА, АҚМОЛА, СТЕПНОГОР, СТЕПНОГОРСК, 27, 16"</f>
        <v>АНДОРРА, АҚМОЛА, СТЕПНОГОР, СТЕПНОГОРСК, 27, 16</v>
      </c>
      <c r="T631" t="str">
        <f>"СТЕПНОГОРСК, 27, 16"</f>
        <v>СТЕПНОГОРСК, 27, 16</v>
      </c>
      <c r="U631" t="str">
        <f>"СТЕПНОГОРСК, 27, 16"</f>
        <v>СТЕПНОГОРСК, 27, 16</v>
      </c>
      <c r="AC631" t="str">
        <f>"2016-09-01T00:00:00"</f>
        <v>2016-09-01T00:00:00</v>
      </c>
      <c r="AD631" t="str">
        <f t="shared" si="26"/>
        <v>1</v>
      </c>
      <c r="AG631" t="s">
        <v>202</v>
      </c>
      <c r="AH631" t="str">
        <f t="shared" si="25"/>
        <v>ckool007@mail.ru</v>
      </c>
      <c r="AI631" t="s">
        <v>203</v>
      </c>
      <c r="AJ631" t="s">
        <v>286</v>
      </c>
      <c r="AK631" t="s">
        <v>261</v>
      </c>
      <c r="AL631" t="s">
        <v>206</v>
      </c>
      <c r="AN631" t="s">
        <v>207</v>
      </c>
      <c r="AO631">
        <v>1</v>
      </c>
      <c r="AP631" t="s">
        <v>208</v>
      </c>
      <c r="AQ631" t="s">
        <v>209</v>
      </c>
      <c r="AR631" t="s">
        <v>210</v>
      </c>
      <c r="AW631" t="s">
        <v>206</v>
      </c>
      <c r="AX631" t="s">
        <v>211</v>
      </c>
      <c r="AZ631" t="s">
        <v>209</v>
      </c>
      <c r="BI631" t="s">
        <v>212</v>
      </c>
      <c r="BJ631" t="s">
        <v>213</v>
      </c>
      <c r="BK631" t="s">
        <v>214</v>
      </c>
      <c r="BL631" t="s">
        <v>215</v>
      </c>
      <c r="BN631" t="s">
        <v>247</v>
      </c>
      <c r="BO631" t="s">
        <v>209</v>
      </c>
      <c r="BP631" t="s">
        <v>241</v>
      </c>
      <c r="BQ631">
        <v>3</v>
      </c>
      <c r="BS631" t="s">
        <v>219</v>
      </c>
      <c r="BT631" t="s">
        <v>220</v>
      </c>
      <c r="BU631" t="s">
        <v>206</v>
      </c>
      <c r="BX631" t="s">
        <v>221</v>
      </c>
      <c r="BY631" t="s">
        <v>221</v>
      </c>
      <c r="CA631" t="s">
        <v>256</v>
      </c>
      <c r="CB631" t="s">
        <v>223</v>
      </c>
      <c r="CC631" t="s">
        <v>256</v>
      </c>
      <c r="CD631" t="s">
        <v>223</v>
      </c>
      <c r="CE631" t="s">
        <v>242</v>
      </c>
      <c r="CJ631" t="s">
        <v>206</v>
      </c>
      <c r="CK631" t="s">
        <v>1739</v>
      </c>
      <c r="CL631" t="s">
        <v>1576</v>
      </c>
      <c r="CM631" t="s">
        <v>1740</v>
      </c>
      <c r="CN631" t="s">
        <v>233</v>
      </c>
      <c r="CP631" t="s">
        <v>212</v>
      </c>
      <c r="CQ631" t="s">
        <v>212</v>
      </c>
      <c r="CR631" t="s">
        <v>212</v>
      </c>
      <c r="CS631" t="s">
        <v>212</v>
      </c>
      <c r="CY631" t="s">
        <v>212</v>
      </c>
      <c r="DB631" t="s">
        <v>234</v>
      </c>
      <c r="DE631" t="s">
        <v>212</v>
      </c>
      <c r="DF631" t="s">
        <v>212</v>
      </c>
      <c r="DG631" t="s">
        <v>235</v>
      </c>
      <c r="DH631" t="s">
        <v>212</v>
      </c>
      <c r="DJ631" t="s">
        <v>236</v>
      </c>
      <c r="DM631" t="s">
        <v>212</v>
      </c>
    </row>
    <row r="632" spans="1:117" x14ac:dyDescent="0.3">
      <c r="A632">
        <v>339339</v>
      </c>
      <c r="B632">
        <v>217658</v>
      </c>
      <c r="C632" t="str">
        <f>"100605550455"</f>
        <v>100605550455</v>
      </c>
      <c r="D632" t="s">
        <v>1741</v>
      </c>
      <c r="E632" t="s">
        <v>520</v>
      </c>
      <c r="F632" t="s">
        <v>294</v>
      </c>
      <c r="G632" s="1">
        <v>40334</v>
      </c>
      <c r="I632" t="s">
        <v>240</v>
      </c>
      <c r="J632" t="s">
        <v>200</v>
      </c>
      <c r="K632" t="s">
        <v>268</v>
      </c>
      <c r="R632" t="str">
        <f>"АНДОРРА, АКМОЛИНСКАЯ, СТЕПНОГОРСК, 43, 148"</f>
        <v>АНДОРРА, АКМОЛИНСКАЯ, СТЕПНОГОРСК, 43, 148</v>
      </c>
      <c r="S632" t="str">
        <f>"АНДОРРА, АҚМОЛА, СТЕПНОГОР, 43, 148"</f>
        <v>АНДОРРА, АҚМОЛА, СТЕПНОГОР, 43, 148</v>
      </c>
      <c r="T632" t="str">
        <f>"43, 148"</f>
        <v>43, 148</v>
      </c>
      <c r="U632" t="str">
        <f>"43, 148"</f>
        <v>43, 148</v>
      </c>
      <c r="AC632" t="str">
        <f>"2018-08-29T00:00:00"</f>
        <v>2018-08-29T00:00:00</v>
      </c>
      <c r="AD632" t="str">
        <f>"141"</f>
        <v>141</v>
      </c>
      <c r="AG632" t="s">
        <v>333</v>
      </c>
      <c r="AH632" t="str">
        <f t="shared" si="25"/>
        <v>ckool007@mail.ru</v>
      </c>
      <c r="AI632" t="s">
        <v>299</v>
      </c>
      <c r="AJ632" t="s">
        <v>286</v>
      </c>
      <c r="AK632" t="s">
        <v>246</v>
      </c>
      <c r="AL632" t="s">
        <v>206</v>
      </c>
      <c r="AN632" t="s">
        <v>207</v>
      </c>
      <c r="AO632">
        <v>1</v>
      </c>
      <c r="AP632" t="s">
        <v>208</v>
      </c>
      <c r="AQ632" t="s">
        <v>209</v>
      </c>
      <c r="AR632" t="s">
        <v>210</v>
      </c>
      <c r="AW632" t="s">
        <v>206</v>
      </c>
      <c r="AX632" t="s">
        <v>211</v>
      </c>
      <c r="AZ632" t="s">
        <v>209</v>
      </c>
      <c r="BI632" t="s">
        <v>212</v>
      </c>
      <c r="BJ632" t="s">
        <v>213</v>
      </c>
      <c r="BK632" t="s">
        <v>214</v>
      </c>
      <c r="BL632" t="s">
        <v>215</v>
      </c>
      <c r="BN632" t="s">
        <v>247</v>
      </c>
      <c r="BO632" t="s">
        <v>209</v>
      </c>
      <c r="BP632" t="s">
        <v>241</v>
      </c>
      <c r="BQ632">
        <v>3</v>
      </c>
      <c r="BS632" t="s">
        <v>219</v>
      </c>
      <c r="BT632" t="s">
        <v>220</v>
      </c>
      <c r="BU632" t="s">
        <v>206</v>
      </c>
      <c r="BX632" t="s">
        <v>234</v>
      </c>
      <c r="BY632" t="s">
        <v>234</v>
      </c>
      <c r="CA632" t="s">
        <v>256</v>
      </c>
      <c r="CB632" t="s">
        <v>223</v>
      </c>
      <c r="CC632" t="s">
        <v>209</v>
      </c>
      <c r="CE632" t="s">
        <v>242</v>
      </c>
      <c r="CJ632" t="s">
        <v>206</v>
      </c>
      <c r="CK632" t="s">
        <v>291</v>
      </c>
      <c r="CM632" t="s">
        <v>292</v>
      </c>
      <c r="CN632" t="s">
        <v>233</v>
      </c>
      <c r="CP632" t="s">
        <v>212</v>
      </c>
      <c r="CQ632" t="s">
        <v>212</v>
      </c>
      <c r="CR632" t="s">
        <v>212</v>
      </c>
      <c r="CS632" t="s">
        <v>212</v>
      </c>
      <c r="CY632" t="s">
        <v>212</v>
      </c>
      <c r="DB632" t="s">
        <v>234</v>
      </c>
      <c r="DE632" t="s">
        <v>212</v>
      </c>
      <c r="DF632" t="s">
        <v>212</v>
      </c>
      <c r="DG632" t="s">
        <v>235</v>
      </c>
      <c r="DH632" t="s">
        <v>212</v>
      </c>
      <c r="DJ632" t="s">
        <v>236</v>
      </c>
      <c r="DM632" t="s">
        <v>212</v>
      </c>
    </row>
    <row r="633" spans="1:117" x14ac:dyDescent="0.3">
      <c r="A633">
        <v>339313</v>
      </c>
      <c r="B633">
        <v>306856</v>
      </c>
      <c r="C633" t="str">
        <f>"100120551269"</f>
        <v>100120551269</v>
      </c>
      <c r="D633" t="s">
        <v>1742</v>
      </c>
      <c r="E633" t="s">
        <v>425</v>
      </c>
      <c r="F633" t="s">
        <v>1084</v>
      </c>
      <c r="G633" s="1">
        <v>40198</v>
      </c>
      <c r="I633" t="s">
        <v>240</v>
      </c>
      <c r="J633" t="s">
        <v>200</v>
      </c>
      <c r="K633" t="s">
        <v>201</v>
      </c>
      <c r="R633" t="str">
        <f>"АНДОРРА, АКМОЛИНСКАЯ, СТЕПНОГОРСК, СТЕПНОГОРСК, 30, 159"</f>
        <v>АНДОРРА, АКМОЛИНСКАЯ, СТЕПНОГОРСК, СТЕПНОГОРСК, 30, 159</v>
      </c>
      <c r="S633" t="str">
        <f>"АНДОРРА, АҚМОЛА, СТЕПНОГОР, СТЕПНОГОРСК, 30, 159"</f>
        <v>АНДОРРА, АҚМОЛА, СТЕПНОГОР, СТЕПНОГОРСК, 30, 159</v>
      </c>
      <c r="T633" t="str">
        <f>"СТЕПНОГОРСК, 30, 159"</f>
        <v>СТЕПНОГОРСК, 30, 159</v>
      </c>
      <c r="U633" t="str">
        <f>"СТЕПНОГОРСК, 30, 159"</f>
        <v>СТЕПНОГОРСК, 30, 159</v>
      </c>
      <c r="AC633" t="str">
        <f>"2016-09-01T00:00:00"</f>
        <v>2016-09-01T00:00:00</v>
      </c>
      <c r="AD633" t="str">
        <f>"1"</f>
        <v>1</v>
      </c>
      <c r="AG633" t="s">
        <v>202</v>
      </c>
      <c r="AH633" t="str">
        <f t="shared" si="25"/>
        <v>ckool007@mail.ru</v>
      </c>
      <c r="AI633" t="s">
        <v>203</v>
      </c>
      <c r="AJ633" t="s">
        <v>286</v>
      </c>
      <c r="AK633" t="s">
        <v>246</v>
      </c>
      <c r="AL633" t="s">
        <v>206</v>
      </c>
      <c r="AN633" t="s">
        <v>207</v>
      </c>
      <c r="AO633">
        <v>1</v>
      </c>
      <c r="AP633" t="s">
        <v>208</v>
      </c>
      <c r="AQ633" t="s">
        <v>209</v>
      </c>
      <c r="AR633" t="s">
        <v>210</v>
      </c>
      <c r="AW633" t="s">
        <v>206</v>
      </c>
      <c r="AX633" t="s">
        <v>211</v>
      </c>
      <c r="AZ633" t="s">
        <v>209</v>
      </c>
      <c r="BI633" t="s">
        <v>212</v>
      </c>
      <c r="BJ633" t="s">
        <v>213</v>
      </c>
      <c r="BK633" t="s">
        <v>214</v>
      </c>
      <c r="BL633" t="s">
        <v>215</v>
      </c>
      <c r="BN633" t="s">
        <v>247</v>
      </c>
      <c r="BO633" t="s">
        <v>209</v>
      </c>
      <c r="BP633" t="s">
        <v>241</v>
      </c>
      <c r="BQ633">
        <v>3</v>
      </c>
      <c r="BS633" t="s">
        <v>219</v>
      </c>
      <c r="BT633" t="s">
        <v>220</v>
      </c>
      <c r="BU633" t="s">
        <v>206</v>
      </c>
      <c r="BX633" t="s">
        <v>221</v>
      </c>
      <c r="BY633" t="s">
        <v>221</v>
      </c>
      <c r="CA633" t="s">
        <v>365</v>
      </c>
      <c r="CB633" t="s">
        <v>223</v>
      </c>
      <c r="CC633" t="s">
        <v>209</v>
      </c>
      <c r="CE633" t="s">
        <v>242</v>
      </c>
      <c r="CJ633" t="s">
        <v>206</v>
      </c>
      <c r="CK633" t="s">
        <v>291</v>
      </c>
      <c r="CM633" t="s">
        <v>292</v>
      </c>
      <c r="CN633" t="s">
        <v>233</v>
      </c>
      <c r="CP633" t="s">
        <v>212</v>
      </c>
      <c r="CQ633" t="s">
        <v>212</v>
      </c>
      <c r="CR633" t="s">
        <v>212</v>
      </c>
      <c r="CS633" t="s">
        <v>212</v>
      </c>
      <c r="CY633" t="s">
        <v>212</v>
      </c>
      <c r="DB633" t="s">
        <v>234</v>
      </c>
      <c r="DE633" t="s">
        <v>212</v>
      </c>
      <c r="DF633" t="s">
        <v>212</v>
      </c>
      <c r="DG633" t="s">
        <v>235</v>
      </c>
      <c r="DH633" t="s">
        <v>212</v>
      </c>
      <c r="DJ633" t="s">
        <v>236</v>
      </c>
      <c r="DM633" t="s">
        <v>212</v>
      </c>
    </row>
    <row r="634" spans="1:117" x14ac:dyDescent="0.3">
      <c r="A634">
        <v>339290</v>
      </c>
      <c r="B634">
        <v>306829</v>
      </c>
      <c r="C634" t="str">
        <f>"090217550451"</f>
        <v>090217550451</v>
      </c>
      <c r="D634" t="s">
        <v>1743</v>
      </c>
      <c r="E634" t="s">
        <v>1744</v>
      </c>
      <c r="F634" t="s">
        <v>676</v>
      </c>
      <c r="G634" s="1">
        <v>39861</v>
      </c>
      <c r="I634" t="s">
        <v>240</v>
      </c>
      <c r="J634" t="s">
        <v>200</v>
      </c>
      <c r="K634" t="s">
        <v>260</v>
      </c>
      <c r="Q634" t="s">
        <v>212</v>
      </c>
      <c r="R634" t="str">
        <f>"КАЗАХСТАН, АКМОЛИНСКАЯ, СТЕПНОГОРСК, 15, 48"</f>
        <v>КАЗАХСТАН, АКМОЛИНСКАЯ, СТЕПНОГОРСК, 15, 48</v>
      </c>
      <c r="S634" t="str">
        <f>"ҚАЗАҚСТАН, АҚМОЛА, СТЕПНОГОР, 15, 48"</f>
        <v>ҚАЗАҚСТАН, АҚМОЛА, СТЕПНОГОР, 15, 48</v>
      </c>
      <c r="T634" t="str">
        <f>"15, 48"</f>
        <v>15, 48</v>
      </c>
      <c r="U634" t="str">
        <f>"15, 48"</f>
        <v>15, 48</v>
      </c>
      <c r="AC634" t="str">
        <f>"2015-09-01T00:00:00"</f>
        <v>2015-09-01T00:00:00</v>
      </c>
      <c r="AD634" t="str">
        <f>"1"</f>
        <v>1</v>
      </c>
      <c r="AG634" t="s">
        <v>202</v>
      </c>
      <c r="AH634" t="str">
        <f t="shared" si="25"/>
        <v>ckool007@mail.ru</v>
      </c>
      <c r="AI634" t="s">
        <v>203</v>
      </c>
      <c r="AJ634" t="s">
        <v>286</v>
      </c>
      <c r="AK634" t="s">
        <v>246</v>
      </c>
      <c r="AL634" t="s">
        <v>206</v>
      </c>
      <c r="AN634" t="s">
        <v>207</v>
      </c>
      <c r="AO634">
        <v>1</v>
      </c>
      <c r="AP634" t="s">
        <v>208</v>
      </c>
      <c r="AQ634" t="s">
        <v>209</v>
      </c>
      <c r="AR634" t="s">
        <v>210</v>
      </c>
      <c r="AW634" t="s">
        <v>206</v>
      </c>
      <c r="AX634" t="s">
        <v>211</v>
      </c>
      <c r="AZ634" t="s">
        <v>209</v>
      </c>
      <c r="BI634" t="s">
        <v>212</v>
      </c>
      <c r="BJ634" t="s">
        <v>213</v>
      </c>
      <c r="BK634" t="s">
        <v>214</v>
      </c>
      <c r="BL634" t="s">
        <v>215</v>
      </c>
      <c r="BN634" t="s">
        <v>247</v>
      </c>
      <c r="BO634" t="s">
        <v>209</v>
      </c>
      <c r="BP634" t="s">
        <v>241</v>
      </c>
      <c r="BQ634">
        <v>3</v>
      </c>
      <c r="BS634" t="s">
        <v>219</v>
      </c>
      <c r="BT634" t="s">
        <v>220</v>
      </c>
      <c r="BU634" t="s">
        <v>206</v>
      </c>
      <c r="BX634" t="s">
        <v>221</v>
      </c>
      <c r="BY634" t="s">
        <v>221</v>
      </c>
      <c r="CA634" t="s">
        <v>365</v>
      </c>
      <c r="CB634" t="s">
        <v>223</v>
      </c>
      <c r="CC634" t="s">
        <v>209</v>
      </c>
      <c r="CE634" t="s">
        <v>242</v>
      </c>
      <c r="CJ634" t="s">
        <v>206</v>
      </c>
      <c r="CK634" t="s">
        <v>291</v>
      </c>
      <c r="CM634" t="s">
        <v>292</v>
      </c>
      <c r="CN634" t="s">
        <v>233</v>
      </c>
      <c r="CP634" t="s">
        <v>212</v>
      </c>
      <c r="CQ634" t="s">
        <v>212</v>
      </c>
      <c r="CR634" t="s">
        <v>212</v>
      </c>
      <c r="CS634" t="s">
        <v>212</v>
      </c>
      <c r="CY634" t="s">
        <v>212</v>
      </c>
      <c r="DB634" t="s">
        <v>234</v>
      </c>
      <c r="DE634" t="s">
        <v>212</v>
      </c>
      <c r="DF634" t="s">
        <v>212</v>
      </c>
      <c r="DG634" t="s">
        <v>235</v>
      </c>
      <c r="DH634" t="s">
        <v>212</v>
      </c>
      <c r="DJ634" t="s">
        <v>236</v>
      </c>
      <c r="DM634" t="s">
        <v>212</v>
      </c>
    </row>
    <row r="635" spans="1:117" x14ac:dyDescent="0.3">
      <c r="A635">
        <v>339197</v>
      </c>
      <c r="B635">
        <v>306748</v>
      </c>
      <c r="C635" t="str">
        <f>"100502653684"</f>
        <v>100502653684</v>
      </c>
      <c r="D635" t="s">
        <v>1745</v>
      </c>
      <c r="E635" t="s">
        <v>1100</v>
      </c>
      <c r="F635" t="s">
        <v>921</v>
      </c>
      <c r="G635" s="1">
        <v>40300</v>
      </c>
      <c r="I635" t="s">
        <v>199</v>
      </c>
      <c r="J635" t="s">
        <v>200</v>
      </c>
      <c r="K635" t="s">
        <v>260</v>
      </c>
      <c r="R635" t="str">
        <f>"КАЗАХСТАН, АКМОЛИНСКАЯ, СТЕПНОГОРСК, СТЕПНОГОРСК, 21, 67"</f>
        <v>КАЗАХСТАН, АКМОЛИНСКАЯ, СТЕПНОГОРСК, СТЕПНОГОРСК, 21, 67</v>
      </c>
      <c r="S635" t="str">
        <f>"ҚАЗАҚСТАН, АҚМОЛА, СТЕПНОГОР, СТЕПНОГОРСК, 21, 67"</f>
        <v>ҚАЗАҚСТАН, АҚМОЛА, СТЕПНОГОР, СТЕПНОГОРСК, 21, 67</v>
      </c>
      <c r="T635" t="str">
        <f>"СТЕПНОГОРСК, 21, 67"</f>
        <v>СТЕПНОГОРСК, 21, 67</v>
      </c>
      <c r="U635" t="str">
        <f>"СТЕПНОГОРСК, 21, 67"</f>
        <v>СТЕПНОГОРСК, 21, 67</v>
      </c>
      <c r="AC635" t="str">
        <f>"2017-08-29T00:00:00"</f>
        <v>2017-08-29T00:00:00</v>
      </c>
      <c r="AD635" t="str">
        <f>"112"</f>
        <v>112</v>
      </c>
      <c r="AG635" t="s">
        <v>202</v>
      </c>
      <c r="AI635" t="s">
        <v>274</v>
      </c>
      <c r="AJ635" t="s">
        <v>300</v>
      </c>
      <c r="AK635" t="s">
        <v>246</v>
      </c>
      <c r="AL635" t="s">
        <v>206</v>
      </c>
      <c r="AN635" t="s">
        <v>207</v>
      </c>
      <c r="AO635">
        <v>1</v>
      </c>
      <c r="AP635" t="s">
        <v>208</v>
      </c>
      <c r="AQ635" t="s">
        <v>209</v>
      </c>
      <c r="AR635" t="s">
        <v>210</v>
      </c>
      <c r="AW635" t="s">
        <v>206</v>
      </c>
      <c r="AX635" t="s">
        <v>211</v>
      </c>
      <c r="AZ635" t="s">
        <v>209</v>
      </c>
      <c r="BI635" t="s">
        <v>212</v>
      </c>
      <c r="BJ635" t="s">
        <v>213</v>
      </c>
      <c r="BK635" t="s">
        <v>214</v>
      </c>
      <c r="BL635" t="s">
        <v>215</v>
      </c>
      <c r="BN635" t="s">
        <v>216</v>
      </c>
      <c r="BO635" t="s">
        <v>209</v>
      </c>
      <c r="BP635" t="s">
        <v>241</v>
      </c>
      <c r="BQ635">
        <v>4</v>
      </c>
      <c r="BS635" t="s">
        <v>219</v>
      </c>
      <c r="BT635" t="s">
        <v>220</v>
      </c>
      <c r="BU635" t="s">
        <v>206</v>
      </c>
      <c r="BX635" t="s">
        <v>221</v>
      </c>
      <c r="BY635" t="s">
        <v>221</v>
      </c>
      <c r="CA635" t="s">
        <v>222</v>
      </c>
      <c r="CB635" t="s">
        <v>223</v>
      </c>
      <c r="CC635" t="s">
        <v>222</v>
      </c>
      <c r="CD635" t="s">
        <v>223</v>
      </c>
      <c r="CE635" t="s">
        <v>242</v>
      </c>
      <c r="CJ635" t="s">
        <v>206</v>
      </c>
      <c r="CK635" t="s">
        <v>230</v>
      </c>
      <c r="CL635" t="s">
        <v>231</v>
      </c>
      <c r="CM635" t="s">
        <v>232</v>
      </c>
      <c r="CN635" t="s">
        <v>233</v>
      </c>
      <c r="CP635" t="s">
        <v>212</v>
      </c>
      <c r="CQ635" t="s">
        <v>212</v>
      </c>
      <c r="CR635" t="s">
        <v>212</v>
      </c>
      <c r="CS635" t="s">
        <v>212</v>
      </c>
      <c r="CY635" t="s">
        <v>212</v>
      </c>
      <c r="DB635" t="s">
        <v>234</v>
      </c>
      <c r="DE635" t="s">
        <v>212</v>
      </c>
      <c r="DF635" t="s">
        <v>212</v>
      </c>
      <c r="DG635" t="s">
        <v>235</v>
      </c>
      <c r="DH635" t="s">
        <v>212</v>
      </c>
      <c r="DJ635" t="s">
        <v>236</v>
      </c>
      <c r="DM635" t="s">
        <v>212</v>
      </c>
    </row>
    <row r="636" spans="1:117" x14ac:dyDescent="0.3">
      <c r="A636">
        <v>339119</v>
      </c>
      <c r="B636">
        <v>306670</v>
      </c>
      <c r="C636" t="str">
        <f>"090129550423"</f>
        <v>090129550423</v>
      </c>
      <c r="D636" t="s">
        <v>1746</v>
      </c>
      <c r="E636" t="s">
        <v>1747</v>
      </c>
      <c r="F636" t="s">
        <v>1748</v>
      </c>
      <c r="G636" s="1">
        <v>39842</v>
      </c>
      <c r="I636" t="s">
        <v>240</v>
      </c>
      <c r="J636" t="s">
        <v>200</v>
      </c>
      <c r="K636" t="s">
        <v>201</v>
      </c>
      <c r="R636" t="str">
        <f>"АНДОРРА, АКМОЛИНСКАЯ, СТЕПНОГОРСК, 410"</f>
        <v>АНДОРРА, АКМОЛИНСКАЯ, СТЕПНОГОРСК, 410</v>
      </c>
      <c r="S636" t="str">
        <f>"АНДОРРА, АҚМОЛА, СТЕПНОГОР, 410"</f>
        <v>АНДОРРА, АҚМОЛА, СТЕПНОГОР, 410</v>
      </c>
      <c r="T636" t="str">
        <f>"410"</f>
        <v>410</v>
      </c>
      <c r="U636" t="str">
        <f>"410"</f>
        <v>410</v>
      </c>
      <c r="AC636" t="str">
        <f>"2016-09-01T00:00:00"</f>
        <v>2016-09-01T00:00:00</v>
      </c>
      <c r="AD636" t="str">
        <f>"1"</f>
        <v>1</v>
      </c>
      <c r="AG636" t="s">
        <v>202</v>
      </c>
      <c r="AH636" t="str">
        <f>"ckool007@mail.ru"</f>
        <v>ckool007@mail.ru</v>
      </c>
      <c r="AI636" t="s">
        <v>203</v>
      </c>
      <c r="AJ636" t="s">
        <v>286</v>
      </c>
      <c r="AK636" t="s">
        <v>246</v>
      </c>
      <c r="AL636" t="s">
        <v>206</v>
      </c>
      <c r="AN636" t="s">
        <v>207</v>
      </c>
      <c r="AO636">
        <v>1</v>
      </c>
      <c r="AP636" t="s">
        <v>208</v>
      </c>
      <c r="AQ636" t="s">
        <v>209</v>
      </c>
      <c r="AR636" t="s">
        <v>210</v>
      </c>
      <c r="AW636" t="s">
        <v>206</v>
      </c>
      <c r="AX636" t="s">
        <v>211</v>
      </c>
      <c r="AZ636" t="s">
        <v>209</v>
      </c>
      <c r="BI636" t="s">
        <v>212</v>
      </c>
      <c r="BJ636" t="s">
        <v>213</v>
      </c>
      <c r="BK636" t="s">
        <v>214</v>
      </c>
      <c r="BL636" t="s">
        <v>215</v>
      </c>
      <c r="BN636" t="s">
        <v>247</v>
      </c>
      <c r="BO636" t="s">
        <v>209</v>
      </c>
      <c r="BP636" t="s">
        <v>241</v>
      </c>
      <c r="BQ636">
        <v>3</v>
      </c>
      <c r="BS636" t="s">
        <v>219</v>
      </c>
      <c r="BT636" t="s">
        <v>220</v>
      </c>
      <c r="BU636" t="s">
        <v>206</v>
      </c>
      <c r="BX636" t="s">
        <v>221</v>
      </c>
      <c r="BY636" t="s">
        <v>221</v>
      </c>
      <c r="CA636" t="s">
        <v>365</v>
      </c>
      <c r="CB636" t="s">
        <v>223</v>
      </c>
      <c r="CC636" t="s">
        <v>209</v>
      </c>
      <c r="CE636" t="s">
        <v>242</v>
      </c>
      <c r="CJ636" t="s">
        <v>206</v>
      </c>
      <c r="CK636" t="s">
        <v>291</v>
      </c>
      <c r="CM636" t="s">
        <v>292</v>
      </c>
      <c r="CN636" t="s">
        <v>233</v>
      </c>
      <c r="CP636" t="s">
        <v>212</v>
      </c>
      <c r="CQ636" t="s">
        <v>212</v>
      </c>
      <c r="CR636" t="s">
        <v>212</v>
      </c>
      <c r="CS636" t="s">
        <v>212</v>
      </c>
      <c r="CY636" t="s">
        <v>212</v>
      </c>
      <c r="DB636" t="s">
        <v>234</v>
      </c>
      <c r="DE636" t="s">
        <v>212</v>
      </c>
      <c r="DF636" t="s">
        <v>212</v>
      </c>
      <c r="DG636" t="s">
        <v>235</v>
      </c>
      <c r="DH636" t="s">
        <v>212</v>
      </c>
      <c r="DJ636" t="s">
        <v>236</v>
      </c>
      <c r="DM636" t="s">
        <v>212</v>
      </c>
    </row>
    <row r="637" spans="1:117" x14ac:dyDescent="0.3">
      <c r="A637">
        <v>22389632</v>
      </c>
      <c r="B637">
        <v>7298012</v>
      </c>
      <c r="C637" t="str">
        <f>"140910603237"</f>
        <v>140910603237</v>
      </c>
      <c r="D637" t="s">
        <v>1749</v>
      </c>
      <c r="E637" t="s">
        <v>1425</v>
      </c>
      <c r="F637" t="s">
        <v>406</v>
      </c>
      <c r="G637" s="1">
        <v>41892</v>
      </c>
      <c r="I637" t="s">
        <v>199</v>
      </c>
      <c r="J637" t="s">
        <v>200</v>
      </c>
      <c r="K637" t="s">
        <v>260</v>
      </c>
      <c r="R637" t="str">
        <f>"КАЗАХСТАН, АКМОЛИНСКАЯ, СТЕПНОГОРСК, КЕНТI Аксу, 8"</f>
        <v>КАЗАХСТАН, АКМОЛИНСКАЯ, СТЕПНОГОРСК, КЕНТI Аксу, 8</v>
      </c>
      <c r="S637" t="str">
        <f>"ҚАЗАҚСТАН, АҚМОЛА, СТЕПНОГОР, КЕНТI Аксу, 8"</f>
        <v>ҚАЗАҚСТАН, АҚМОЛА, СТЕПНОГОР, КЕНТI Аксу, 8</v>
      </c>
      <c r="T637" t="str">
        <f>"КЕНТI Аксу, 8"</f>
        <v>КЕНТI Аксу, 8</v>
      </c>
      <c r="U637" t="str">
        <f>"КЕНТI Аксу, 8"</f>
        <v>КЕНТI Аксу, 8</v>
      </c>
      <c r="AC637" t="str">
        <f>"2022-06-27T00:00:00"</f>
        <v>2022-06-27T00:00:00</v>
      </c>
      <c r="AD637" t="str">
        <f>"43"</f>
        <v>43</v>
      </c>
      <c r="AG637" t="s">
        <v>202</v>
      </c>
      <c r="AI637" t="s">
        <v>274</v>
      </c>
      <c r="AJ637" t="s">
        <v>540</v>
      </c>
      <c r="AK637" t="s">
        <v>261</v>
      </c>
      <c r="AL637" t="s">
        <v>206</v>
      </c>
      <c r="AN637" t="s">
        <v>207</v>
      </c>
      <c r="AO637">
        <v>2</v>
      </c>
      <c r="AP637" t="s">
        <v>208</v>
      </c>
      <c r="AQ637" t="s">
        <v>209</v>
      </c>
      <c r="AR637" t="s">
        <v>502</v>
      </c>
      <c r="AW637" t="s">
        <v>212</v>
      </c>
      <c r="AZ637" t="s">
        <v>209</v>
      </c>
      <c r="BI637" t="s">
        <v>212</v>
      </c>
      <c r="BJ637" t="s">
        <v>213</v>
      </c>
      <c r="BK637" t="s">
        <v>214</v>
      </c>
      <c r="BL637" t="s">
        <v>357</v>
      </c>
      <c r="BN637" t="s">
        <v>247</v>
      </c>
      <c r="BO637" t="s">
        <v>209</v>
      </c>
      <c r="BP637" t="s">
        <v>241</v>
      </c>
      <c r="BQ637">
        <v>3</v>
      </c>
      <c r="BS637" t="s">
        <v>219</v>
      </c>
      <c r="BT637" t="s">
        <v>220</v>
      </c>
      <c r="BU637" t="s">
        <v>206</v>
      </c>
      <c r="BZ637" t="s">
        <v>541</v>
      </c>
      <c r="CA637" t="s">
        <v>287</v>
      </c>
      <c r="CC637" t="s">
        <v>222</v>
      </c>
      <c r="CD637" t="s">
        <v>223</v>
      </c>
      <c r="CE637" t="s">
        <v>242</v>
      </c>
      <c r="CJ637" t="s">
        <v>206</v>
      </c>
      <c r="CK637" t="s">
        <v>230</v>
      </c>
      <c r="CL637" t="s">
        <v>231</v>
      </c>
      <c r="CM637" t="s">
        <v>232</v>
      </c>
      <c r="CN637" t="s">
        <v>233</v>
      </c>
      <c r="CP637" t="s">
        <v>212</v>
      </c>
      <c r="CQ637" t="s">
        <v>212</v>
      </c>
      <c r="CR637" t="s">
        <v>212</v>
      </c>
      <c r="CS637" t="s">
        <v>212</v>
      </c>
      <c r="CY637" t="s">
        <v>212</v>
      </c>
      <c r="DB637" t="s">
        <v>234</v>
      </c>
      <c r="DE637" t="s">
        <v>212</v>
      </c>
      <c r="DF637" t="s">
        <v>212</v>
      </c>
      <c r="DG637" t="s">
        <v>235</v>
      </c>
      <c r="DH637" t="s">
        <v>212</v>
      </c>
      <c r="DJ637" t="s">
        <v>236</v>
      </c>
      <c r="DM637" t="s">
        <v>212</v>
      </c>
    </row>
    <row r="638" spans="1:117" x14ac:dyDescent="0.3">
      <c r="A638">
        <v>22372873</v>
      </c>
      <c r="B638">
        <v>2264528</v>
      </c>
      <c r="C638" t="str">
        <f>"141205504101"</f>
        <v>141205504101</v>
      </c>
      <c r="D638" t="s">
        <v>1750</v>
      </c>
      <c r="E638" t="s">
        <v>954</v>
      </c>
      <c r="F638" t="s">
        <v>1751</v>
      </c>
      <c r="G638" s="1">
        <v>41978</v>
      </c>
      <c r="I638" t="s">
        <v>240</v>
      </c>
      <c r="J638" t="s">
        <v>200</v>
      </c>
      <c r="K638" t="s">
        <v>201</v>
      </c>
      <c r="Q638" t="s">
        <v>212</v>
      </c>
      <c r="R638" t="str">
        <f>"КАЗАХСТАН, КОСТАНАЙСКАЯ, КАРАСУСКИЙ РАЙОН, Челгашинский, Челгаши, 15, 2"</f>
        <v>КАЗАХСТАН, КОСТАНАЙСКАЯ, КАРАСУСКИЙ РАЙОН, Челгашинский, Челгаши, 15, 2</v>
      </c>
      <c r="S638" t="str">
        <f>"ҚАЗАҚСТАН, ҚОСТАНАЙ, ҚАРАСУ АУДАНЫ, Челгашинский, Челгаши, 15, 2"</f>
        <v>ҚАЗАҚСТАН, ҚОСТАНАЙ, ҚАРАСУ АУДАНЫ, Челгашинский, Челгаши, 15, 2</v>
      </c>
      <c r="T638" t="str">
        <f t="shared" ref="T638:U640" si="27">"Челгашинский, Челгаши, 15, 2"</f>
        <v>Челгашинский, Челгаши, 15, 2</v>
      </c>
      <c r="U638" t="str">
        <f t="shared" si="27"/>
        <v>Челгашинский, Челгаши, 15, 2</v>
      </c>
      <c r="AC638" t="str">
        <f>"2022-06-24T00:00:00"</f>
        <v>2022-06-24T00:00:00</v>
      </c>
      <c r="AD638" t="str">
        <f>"35"</f>
        <v>35</v>
      </c>
      <c r="AG638" t="s">
        <v>646</v>
      </c>
      <c r="AI638" t="s">
        <v>299</v>
      </c>
      <c r="AJ638" t="s">
        <v>540</v>
      </c>
      <c r="AK638" t="s">
        <v>261</v>
      </c>
      <c r="AL638" t="s">
        <v>206</v>
      </c>
      <c r="AN638" t="s">
        <v>207</v>
      </c>
      <c r="AO638">
        <v>2</v>
      </c>
      <c r="AP638" t="s">
        <v>208</v>
      </c>
      <c r="AQ638" t="s">
        <v>209</v>
      </c>
      <c r="AR638" t="s">
        <v>502</v>
      </c>
      <c r="AW638" t="s">
        <v>212</v>
      </c>
      <c r="AZ638" t="s">
        <v>209</v>
      </c>
      <c r="BI638" t="s">
        <v>212</v>
      </c>
      <c r="BJ638" t="s">
        <v>213</v>
      </c>
      <c r="BK638" t="s">
        <v>214</v>
      </c>
      <c r="BL638" t="s">
        <v>357</v>
      </c>
      <c r="BN638" t="s">
        <v>247</v>
      </c>
      <c r="BO638" t="s">
        <v>209</v>
      </c>
      <c r="BP638" t="s">
        <v>241</v>
      </c>
      <c r="BQ638">
        <v>3</v>
      </c>
      <c r="BS638" t="s">
        <v>219</v>
      </c>
      <c r="BT638" t="s">
        <v>220</v>
      </c>
      <c r="BU638" t="s">
        <v>206</v>
      </c>
      <c r="BZ638" t="s">
        <v>541</v>
      </c>
      <c r="CA638" t="s">
        <v>287</v>
      </c>
      <c r="CC638" t="s">
        <v>222</v>
      </c>
      <c r="CD638" t="s">
        <v>223</v>
      </c>
      <c r="CE638" t="s">
        <v>242</v>
      </c>
      <c r="CJ638" t="s">
        <v>206</v>
      </c>
      <c r="CK638" t="s">
        <v>230</v>
      </c>
      <c r="CL638" t="s">
        <v>231</v>
      </c>
      <c r="CM638" t="s">
        <v>232</v>
      </c>
      <c r="CN638" t="s">
        <v>233</v>
      </c>
      <c r="CP638" t="s">
        <v>212</v>
      </c>
      <c r="CQ638" t="s">
        <v>212</v>
      </c>
      <c r="CR638" t="s">
        <v>212</v>
      </c>
      <c r="CS638" t="s">
        <v>212</v>
      </c>
      <c r="CY638" t="s">
        <v>212</v>
      </c>
      <c r="DB638" t="s">
        <v>234</v>
      </c>
      <c r="DE638" t="s">
        <v>212</v>
      </c>
      <c r="DF638" t="s">
        <v>212</v>
      </c>
      <c r="DG638" t="s">
        <v>235</v>
      </c>
      <c r="DH638" t="s">
        <v>212</v>
      </c>
      <c r="DJ638" t="s">
        <v>236</v>
      </c>
      <c r="DM638" t="s">
        <v>212</v>
      </c>
    </row>
    <row r="639" spans="1:117" x14ac:dyDescent="0.3">
      <c r="A639">
        <v>22372866</v>
      </c>
      <c r="B639">
        <v>2771193</v>
      </c>
      <c r="C639" t="str">
        <f>"100323652950"</f>
        <v>100323652950</v>
      </c>
      <c r="D639" t="s">
        <v>1752</v>
      </c>
      <c r="E639" t="s">
        <v>1753</v>
      </c>
      <c r="F639" t="s">
        <v>1754</v>
      </c>
      <c r="G639" s="1">
        <v>40260</v>
      </c>
      <c r="I639" t="s">
        <v>199</v>
      </c>
      <c r="J639" t="s">
        <v>200</v>
      </c>
      <c r="K639" t="s">
        <v>201</v>
      </c>
      <c r="R639" t="str">
        <f>"КАЗАХСТАН, КОСТАНАЙСКАЯ, КАРАСУСКИЙ РАЙОН, Челгашинский, Челгаши, 15, 2"</f>
        <v>КАЗАХСТАН, КОСТАНАЙСКАЯ, КАРАСУСКИЙ РАЙОН, Челгашинский, Челгаши, 15, 2</v>
      </c>
      <c r="S639" t="str">
        <f>"ҚАЗАҚСТАН, ҚОСТАНАЙ, ҚАРАСУ АУДАНЫ, Челгашинский, Челгаши, 15, 2"</f>
        <v>ҚАЗАҚСТАН, ҚОСТАНАЙ, ҚАРАСУ АУДАНЫ, Челгашинский, Челгаши, 15, 2</v>
      </c>
      <c r="T639" t="str">
        <f t="shared" si="27"/>
        <v>Челгашинский, Челгаши, 15, 2</v>
      </c>
      <c r="U639" t="str">
        <f t="shared" si="27"/>
        <v>Челгашинский, Челгаши, 15, 2</v>
      </c>
      <c r="AC639" t="str">
        <f>"2022-06-24T00:00:00"</f>
        <v>2022-06-24T00:00:00</v>
      </c>
      <c r="AD639" t="str">
        <f>"36"</f>
        <v>36</v>
      </c>
      <c r="AG639" t="s">
        <v>646</v>
      </c>
      <c r="AI639" t="s">
        <v>299</v>
      </c>
      <c r="AJ639" t="s">
        <v>300</v>
      </c>
      <c r="AK639" t="s">
        <v>246</v>
      </c>
      <c r="AL639" t="s">
        <v>206</v>
      </c>
      <c r="AN639" t="s">
        <v>207</v>
      </c>
      <c r="AO639">
        <v>1</v>
      </c>
      <c r="AP639" t="s">
        <v>208</v>
      </c>
      <c r="AQ639" t="s">
        <v>209</v>
      </c>
      <c r="AR639" t="s">
        <v>307</v>
      </c>
      <c r="AW639" t="s">
        <v>206</v>
      </c>
      <c r="AX639" t="s">
        <v>211</v>
      </c>
      <c r="AZ639" t="s">
        <v>209</v>
      </c>
      <c r="BI639" t="s">
        <v>212</v>
      </c>
      <c r="BJ639" t="s">
        <v>213</v>
      </c>
      <c r="BK639" t="s">
        <v>214</v>
      </c>
      <c r="BL639" t="s">
        <v>215</v>
      </c>
      <c r="BN639" t="s">
        <v>247</v>
      </c>
      <c r="BO639" t="s">
        <v>209</v>
      </c>
      <c r="BP639" t="s">
        <v>983</v>
      </c>
      <c r="BQ639">
        <v>3</v>
      </c>
      <c r="BS639" t="s">
        <v>219</v>
      </c>
      <c r="BT639" t="s">
        <v>220</v>
      </c>
      <c r="BU639" t="s">
        <v>206</v>
      </c>
      <c r="CA639" t="s">
        <v>287</v>
      </c>
      <c r="CC639" t="s">
        <v>222</v>
      </c>
      <c r="CD639" t="s">
        <v>223</v>
      </c>
      <c r="CE639" t="s">
        <v>242</v>
      </c>
      <c r="CJ639" t="s">
        <v>206</v>
      </c>
      <c r="CK639" t="s">
        <v>230</v>
      </c>
      <c r="CL639" t="s">
        <v>231</v>
      </c>
      <c r="CM639" t="s">
        <v>232</v>
      </c>
      <c r="CN639" t="s">
        <v>233</v>
      </c>
      <c r="CP639" t="s">
        <v>212</v>
      </c>
      <c r="CQ639" t="s">
        <v>212</v>
      </c>
      <c r="CR639" t="s">
        <v>212</v>
      </c>
      <c r="CS639" t="s">
        <v>212</v>
      </c>
      <c r="CY639" t="s">
        <v>212</v>
      </c>
      <c r="DB639" t="s">
        <v>234</v>
      </c>
      <c r="DE639" t="s">
        <v>212</v>
      </c>
      <c r="DF639" t="s">
        <v>212</v>
      </c>
      <c r="DG639" t="s">
        <v>235</v>
      </c>
      <c r="DH639" t="s">
        <v>212</v>
      </c>
      <c r="DJ639" t="s">
        <v>236</v>
      </c>
      <c r="DM639" t="s">
        <v>212</v>
      </c>
    </row>
    <row r="640" spans="1:117" x14ac:dyDescent="0.3">
      <c r="A640">
        <v>22372859</v>
      </c>
      <c r="B640">
        <v>2768966</v>
      </c>
      <c r="C640" t="str">
        <f>"090508651715"</f>
        <v>090508651715</v>
      </c>
      <c r="D640" t="s">
        <v>1752</v>
      </c>
      <c r="E640" t="s">
        <v>996</v>
      </c>
      <c r="F640" t="s">
        <v>1754</v>
      </c>
      <c r="G640" s="1">
        <v>39941</v>
      </c>
      <c r="I640" t="s">
        <v>199</v>
      </c>
      <c r="J640" t="s">
        <v>200</v>
      </c>
      <c r="K640" t="s">
        <v>201</v>
      </c>
      <c r="Q640" t="s">
        <v>212</v>
      </c>
      <c r="R640" t="str">
        <f>"АНДОРРА, КОСТАНАЙСКАЯ, КАРАСУСКИЙ РАЙОН, Челгашинский, Челгаши, 15, 2"</f>
        <v>АНДОРРА, КОСТАНАЙСКАЯ, КАРАСУСКИЙ РАЙОН, Челгашинский, Челгаши, 15, 2</v>
      </c>
      <c r="S640" t="str">
        <f>"АНДОРРА, ҚОСТАНАЙ, ҚАРАСУ АУДАНЫ, Челгашинский, Челгаши, 15, 2"</f>
        <v>АНДОРРА, ҚОСТАНАЙ, ҚАРАСУ АУДАНЫ, Челгашинский, Челгаши, 15, 2</v>
      </c>
      <c r="T640" t="str">
        <f t="shared" si="27"/>
        <v>Челгашинский, Челгаши, 15, 2</v>
      </c>
      <c r="U640" t="str">
        <f t="shared" si="27"/>
        <v>Челгашинский, Челгаши, 15, 2</v>
      </c>
      <c r="AC640" t="str">
        <f>"2022-06-24T00:00:00"</f>
        <v>2022-06-24T00:00:00</v>
      </c>
      <c r="AD640" t="str">
        <f>"37"</f>
        <v>37</v>
      </c>
      <c r="AG640" t="s">
        <v>646</v>
      </c>
      <c r="AH640" t="str">
        <f>"ckool007@mail.ru"</f>
        <v>ckool007@mail.ru</v>
      </c>
      <c r="AI640" t="s">
        <v>299</v>
      </c>
      <c r="AJ640" t="s">
        <v>204</v>
      </c>
      <c r="AK640" t="s">
        <v>261</v>
      </c>
      <c r="AL640" t="s">
        <v>206</v>
      </c>
      <c r="AN640" t="s">
        <v>207</v>
      </c>
      <c r="AO640">
        <v>1</v>
      </c>
      <c r="AP640" t="s">
        <v>208</v>
      </c>
      <c r="AQ640" t="s">
        <v>209</v>
      </c>
      <c r="AR640" t="s">
        <v>307</v>
      </c>
      <c r="AW640" t="s">
        <v>206</v>
      </c>
      <c r="AX640" t="s">
        <v>211</v>
      </c>
      <c r="AZ640" t="s">
        <v>209</v>
      </c>
      <c r="BI640" t="s">
        <v>212</v>
      </c>
      <c r="BJ640" t="s">
        <v>213</v>
      </c>
      <c r="BK640" t="s">
        <v>214</v>
      </c>
      <c r="BL640" t="s">
        <v>215</v>
      </c>
      <c r="BN640" t="s">
        <v>247</v>
      </c>
      <c r="BO640" t="s">
        <v>209</v>
      </c>
      <c r="BP640" t="s">
        <v>241</v>
      </c>
      <c r="BQ640">
        <v>3</v>
      </c>
      <c r="BS640" t="s">
        <v>219</v>
      </c>
      <c r="BT640" t="s">
        <v>220</v>
      </c>
      <c r="BU640" t="s">
        <v>206</v>
      </c>
      <c r="CA640" t="s">
        <v>287</v>
      </c>
      <c r="CC640" t="s">
        <v>209</v>
      </c>
      <c r="CE640" t="s">
        <v>242</v>
      </c>
      <c r="CJ640" t="s">
        <v>206</v>
      </c>
      <c r="CK640" t="s">
        <v>230</v>
      </c>
      <c r="CL640" t="s">
        <v>231</v>
      </c>
      <c r="CM640" t="s">
        <v>232</v>
      </c>
      <c r="CN640" t="s">
        <v>233</v>
      </c>
      <c r="CP640" t="s">
        <v>212</v>
      </c>
      <c r="CQ640" t="s">
        <v>212</v>
      </c>
      <c r="CR640" t="s">
        <v>212</v>
      </c>
      <c r="CS640" t="s">
        <v>212</v>
      </c>
      <c r="CY640" t="s">
        <v>212</v>
      </c>
      <c r="DB640" t="s">
        <v>234</v>
      </c>
      <c r="DE640" t="s">
        <v>212</v>
      </c>
      <c r="DF640" t="s">
        <v>212</v>
      </c>
      <c r="DG640" t="s">
        <v>235</v>
      </c>
      <c r="DH640" t="s">
        <v>212</v>
      </c>
      <c r="DJ640" t="s">
        <v>236</v>
      </c>
      <c r="DM640" t="s">
        <v>212</v>
      </c>
    </row>
    <row r="641" spans="1:184" x14ac:dyDescent="0.3">
      <c r="A641">
        <v>22337084</v>
      </c>
      <c r="B641">
        <v>9204105</v>
      </c>
      <c r="C641" t="str">
        <f>"150520502165"</f>
        <v>150520502165</v>
      </c>
      <c r="D641" t="s">
        <v>1364</v>
      </c>
      <c r="E641" t="s">
        <v>793</v>
      </c>
      <c r="F641" t="s">
        <v>942</v>
      </c>
      <c r="G641" s="1">
        <v>42144</v>
      </c>
      <c r="I641" t="s">
        <v>240</v>
      </c>
      <c r="J641" t="s">
        <v>200</v>
      </c>
      <c r="K641" t="s">
        <v>260</v>
      </c>
      <c r="Q641" t="s">
        <v>212</v>
      </c>
      <c r="R641" t="str">
        <f>"КАЗАХСТАН, АКМОЛИНСКАЯ, СТЕПНОГОРСК, 29, 917"</f>
        <v>КАЗАХСТАН, АКМОЛИНСКАЯ, СТЕПНОГОРСК, 29, 917</v>
      </c>
      <c r="S641" t="str">
        <f>"ҚАЗАҚСТАН, АҚМОЛА, СТЕПНОГОР, 29, 917"</f>
        <v>ҚАЗАҚСТАН, АҚМОЛА, СТЕПНОГОР, 29, 917</v>
      </c>
      <c r="T641" t="str">
        <f>"29, 917"</f>
        <v>29, 917</v>
      </c>
      <c r="U641" t="str">
        <f>"29, 917"</f>
        <v>29, 917</v>
      </c>
      <c r="AC641" t="str">
        <f>"2021-08-29T00:00:00"</f>
        <v>2021-08-29T00:00:00</v>
      </c>
      <c r="AD641" t="str">
        <f>"35"</f>
        <v>35</v>
      </c>
      <c r="AE641" t="str">
        <f>"2023-09-01T13:47:24"</f>
        <v>2023-09-01T13:47:24</v>
      </c>
      <c r="AF641" t="str">
        <f>"2024-05-25T13:47:24"</f>
        <v>2024-05-25T13:47:24</v>
      </c>
      <c r="AG641" t="s">
        <v>202</v>
      </c>
      <c r="AI641" t="s">
        <v>299</v>
      </c>
      <c r="AJ641" t="s">
        <v>570</v>
      </c>
      <c r="AK641" t="s">
        <v>246</v>
      </c>
      <c r="AL641" t="s">
        <v>206</v>
      </c>
      <c r="AN641" t="s">
        <v>207</v>
      </c>
      <c r="AO641">
        <v>1</v>
      </c>
      <c r="AP641" t="s">
        <v>208</v>
      </c>
      <c r="AQ641" t="s">
        <v>209</v>
      </c>
      <c r="AR641" t="s">
        <v>210</v>
      </c>
      <c r="AW641" t="s">
        <v>212</v>
      </c>
      <c r="AZ641" t="s">
        <v>209</v>
      </c>
      <c r="BI641" t="s">
        <v>212</v>
      </c>
      <c r="BJ641" t="s">
        <v>213</v>
      </c>
      <c r="BK641" t="s">
        <v>214</v>
      </c>
      <c r="BL641" t="s">
        <v>357</v>
      </c>
      <c r="BN641" t="s">
        <v>281</v>
      </c>
      <c r="BO641" t="s">
        <v>209</v>
      </c>
      <c r="BP641" t="s">
        <v>241</v>
      </c>
      <c r="BQ641">
        <v>5</v>
      </c>
      <c r="BS641" t="s">
        <v>220</v>
      </c>
      <c r="BU641" t="s">
        <v>212</v>
      </c>
      <c r="BZ641" t="s">
        <v>571</v>
      </c>
      <c r="CA641" t="s">
        <v>287</v>
      </c>
      <c r="CC641" t="s">
        <v>222</v>
      </c>
      <c r="CD641" t="s">
        <v>223</v>
      </c>
      <c r="CE641" t="s">
        <v>242</v>
      </c>
      <c r="CJ641" t="s">
        <v>206</v>
      </c>
      <c r="CK641" t="s">
        <v>230</v>
      </c>
      <c r="CL641" t="s">
        <v>231</v>
      </c>
      <c r="CM641" t="s">
        <v>232</v>
      </c>
      <c r="CN641" t="s">
        <v>233</v>
      </c>
      <c r="CP641" t="s">
        <v>212</v>
      </c>
      <c r="CQ641" t="s">
        <v>212</v>
      </c>
      <c r="CR641" t="s">
        <v>212</v>
      </c>
      <c r="CS641" t="s">
        <v>212</v>
      </c>
      <c r="CY641" t="s">
        <v>212</v>
      </c>
      <c r="DB641" t="s">
        <v>653</v>
      </c>
      <c r="DC641" t="str">
        <f>"№1928 Общее недоразвитие речи 3 уровня."</f>
        <v>№1928 Общее недоразвитие речи 3 уровня.</v>
      </c>
      <c r="DD641" t="str">
        <f>"2023-12-26T00:00:00"</f>
        <v>2023-12-26T00:00:00</v>
      </c>
      <c r="DE641" t="s">
        <v>212</v>
      </c>
      <c r="DF641" t="s">
        <v>206</v>
      </c>
      <c r="DG641" t="s">
        <v>235</v>
      </c>
      <c r="DH641" t="s">
        <v>212</v>
      </c>
      <c r="DJ641" t="s">
        <v>236</v>
      </c>
      <c r="DM641" t="s">
        <v>212</v>
      </c>
    </row>
    <row r="642" spans="1:184" x14ac:dyDescent="0.3">
      <c r="A642">
        <v>22307071</v>
      </c>
      <c r="B642">
        <v>12509164</v>
      </c>
      <c r="C642" t="str">
        <f>"130325050030"</f>
        <v>130325050030</v>
      </c>
      <c r="D642" t="s">
        <v>1755</v>
      </c>
      <c r="E642" t="s">
        <v>1756</v>
      </c>
      <c r="F642" t="s">
        <v>756</v>
      </c>
      <c r="G642" s="1">
        <v>41358</v>
      </c>
      <c r="I642" t="s">
        <v>240</v>
      </c>
      <c r="J642" t="s">
        <v>757</v>
      </c>
      <c r="K642" t="s">
        <v>201</v>
      </c>
      <c r="L642" t="s">
        <v>212</v>
      </c>
      <c r="Q642" t="s">
        <v>212</v>
      </c>
      <c r="R642" t="str">
        <f>"-"</f>
        <v>-</v>
      </c>
      <c r="S642" t="str">
        <f>"-"</f>
        <v>-</v>
      </c>
      <c r="T642" t="str">
        <f>"-"</f>
        <v>-</v>
      </c>
      <c r="U642" t="str">
        <f>"-"</f>
        <v>-</v>
      </c>
      <c r="AC642" t="str">
        <f>"2021-08-26T00:00:00"</f>
        <v>2021-08-26T00:00:00</v>
      </c>
      <c r="AD642" t="str">
        <f>"133"</f>
        <v>133</v>
      </c>
      <c r="AE642" t="str">
        <f>"2023-09-01T17:57:48"</f>
        <v>2023-09-01T17:57:48</v>
      </c>
      <c r="AF642" t="str">
        <f>"2024-05-25T17:57:48"</f>
        <v>2024-05-25T17:57:48</v>
      </c>
      <c r="AG642" t="s">
        <v>530</v>
      </c>
      <c r="AI642" t="s">
        <v>299</v>
      </c>
      <c r="AJ642" t="s">
        <v>419</v>
      </c>
      <c r="AK642" t="s">
        <v>253</v>
      </c>
      <c r="AL642" t="s">
        <v>206</v>
      </c>
      <c r="AN642" t="s">
        <v>254</v>
      </c>
      <c r="AO642">
        <v>1</v>
      </c>
      <c r="AP642" t="s">
        <v>208</v>
      </c>
      <c r="AQ642" t="s">
        <v>209</v>
      </c>
      <c r="AR642" t="s">
        <v>210</v>
      </c>
      <c r="AW642" t="s">
        <v>206</v>
      </c>
      <c r="AX642" t="s">
        <v>211</v>
      </c>
      <c r="AZ642" t="s">
        <v>209</v>
      </c>
      <c r="BI642" t="s">
        <v>212</v>
      </c>
      <c r="BJ642" t="s">
        <v>213</v>
      </c>
      <c r="BK642" t="s">
        <v>214</v>
      </c>
      <c r="BL642" t="s">
        <v>215</v>
      </c>
      <c r="BN642" t="s">
        <v>247</v>
      </c>
      <c r="BO642" t="s">
        <v>209</v>
      </c>
      <c r="BP642" t="s">
        <v>241</v>
      </c>
      <c r="BQ642">
        <v>3</v>
      </c>
      <c r="BS642" t="s">
        <v>219</v>
      </c>
      <c r="BT642" t="s">
        <v>220</v>
      </c>
      <c r="BU642" t="s">
        <v>206</v>
      </c>
      <c r="CA642" t="s">
        <v>249</v>
      </c>
      <c r="CB642" t="s">
        <v>223</v>
      </c>
      <c r="CC642" t="s">
        <v>256</v>
      </c>
      <c r="CD642" t="s">
        <v>349</v>
      </c>
      <c r="CE642" t="s">
        <v>242</v>
      </c>
      <c r="CJ642" t="s">
        <v>206</v>
      </c>
      <c r="CK642" t="s">
        <v>230</v>
      </c>
      <c r="CL642" t="s">
        <v>231</v>
      </c>
      <c r="CM642" t="s">
        <v>232</v>
      </c>
      <c r="CN642" t="s">
        <v>233</v>
      </c>
      <c r="CP642" t="s">
        <v>212</v>
      </c>
      <c r="CQ642" t="s">
        <v>212</v>
      </c>
      <c r="CR642" t="s">
        <v>212</v>
      </c>
      <c r="CS642" t="s">
        <v>212</v>
      </c>
      <c r="CY642" t="s">
        <v>212</v>
      </c>
      <c r="DB642" t="s">
        <v>234</v>
      </c>
      <c r="DE642" t="s">
        <v>212</v>
      </c>
      <c r="DF642" t="s">
        <v>212</v>
      </c>
      <c r="DG642" t="s">
        <v>235</v>
      </c>
      <c r="DH642" t="s">
        <v>212</v>
      </c>
      <c r="DJ642" t="s">
        <v>236</v>
      </c>
      <c r="DM642" t="s">
        <v>206</v>
      </c>
    </row>
    <row r="643" spans="1:184" x14ac:dyDescent="0.3">
      <c r="A643">
        <v>22291068</v>
      </c>
      <c r="B643">
        <v>165835</v>
      </c>
      <c r="C643" t="str">
        <f>"100621550879"</f>
        <v>100621550879</v>
      </c>
      <c r="D643" t="s">
        <v>1079</v>
      </c>
      <c r="E643" t="s">
        <v>1757</v>
      </c>
      <c r="F643" t="s">
        <v>521</v>
      </c>
      <c r="G643" s="1">
        <v>40350</v>
      </c>
      <c r="I643" t="s">
        <v>240</v>
      </c>
      <c r="J643" t="s">
        <v>200</v>
      </c>
      <c r="K643" t="s">
        <v>260</v>
      </c>
      <c r="Q643" t="s">
        <v>212</v>
      </c>
      <c r="R643" t="str">
        <f>"КАЗАХСТАН, АКМОЛИНСКАЯ, СТЕПНОГОРСК, 31, 17"</f>
        <v>КАЗАХСТАН, АКМОЛИНСКАЯ, СТЕПНОГОРСК, 31, 17</v>
      </c>
      <c r="S643" t="str">
        <f>"ҚАЗАҚСТАН, АҚМОЛА, СТЕПНОГОР, 31, 17"</f>
        <v>ҚАЗАҚСТАН, АҚМОЛА, СТЕПНОГОР, 31, 17</v>
      </c>
      <c r="T643" t="str">
        <f>"31, 17"</f>
        <v>31, 17</v>
      </c>
      <c r="U643" t="str">
        <f>"31, 17"</f>
        <v>31, 17</v>
      </c>
      <c r="AC643" t="str">
        <f>"2021-11-03T00:00:00"</f>
        <v>2021-11-03T00:00:00</v>
      </c>
      <c r="AD643" t="str">
        <f>"196"</f>
        <v>196</v>
      </c>
      <c r="AG643" t="s">
        <v>202</v>
      </c>
      <c r="AI643" t="s">
        <v>269</v>
      </c>
      <c r="AJ643" t="s">
        <v>300</v>
      </c>
      <c r="AK643" t="s">
        <v>205</v>
      </c>
      <c r="AL643" t="s">
        <v>206</v>
      </c>
      <c r="AN643" t="s">
        <v>207</v>
      </c>
      <c r="AO643">
        <v>1</v>
      </c>
      <c r="AP643" t="s">
        <v>208</v>
      </c>
      <c r="AQ643" t="s">
        <v>209</v>
      </c>
      <c r="AR643" t="s">
        <v>307</v>
      </c>
      <c r="AW643" t="s">
        <v>206</v>
      </c>
      <c r="AX643" t="s">
        <v>211</v>
      </c>
      <c r="AZ643" t="s">
        <v>209</v>
      </c>
      <c r="BI643" t="s">
        <v>212</v>
      </c>
      <c r="BJ643" t="s">
        <v>213</v>
      </c>
      <c r="BK643" t="s">
        <v>214</v>
      </c>
      <c r="BL643" t="s">
        <v>215</v>
      </c>
      <c r="BN643" t="s">
        <v>216</v>
      </c>
      <c r="BO643" t="s">
        <v>209</v>
      </c>
      <c r="BP643" t="s">
        <v>241</v>
      </c>
      <c r="BQ643">
        <v>4</v>
      </c>
      <c r="BS643" t="s">
        <v>219</v>
      </c>
      <c r="BT643" t="s">
        <v>220</v>
      </c>
      <c r="BU643" t="s">
        <v>206</v>
      </c>
      <c r="CA643" t="s">
        <v>287</v>
      </c>
      <c r="CC643" t="s">
        <v>222</v>
      </c>
      <c r="CD643" t="s">
        <v>223</v>
      </c>
      <c r="CE643" t="s">
        <v>242</v>
      </c>
      <c r="CJ643" t="s">
        <v>206</v>
      </c>
      <c r="CK643" t="s">
        <v>230</v>
      </c>
      <c r="CL643" t="s">
        <v>231</v>
      </c>
      <c r="CM643" t="s">
        <v>232</v>
      </c>
      <c r="CN643" t="s">
        <v>233</v>
      </c>
      <c r="CP643" t="s">
        <v>212</v>
      </c>
      <c r="CQ643" t="s">
        <v>212</v>
      </c>
      <c r="CR643" t="s">
        <v>212</v>
      </c>
      <c r="CS643" t="s">
        <v>212</v>
      </c>
      <c r="CY643" t="s">
        <v>212</v>
      </c>
      <c r="DB643" t="s">
        <v>234</v>
      </c>
      <c r="DE643" t="s">
        <v>212</v>
      </c>
      <c r="DF643" t="s">
        <v>212</v>
      </c>
      <c r="DG643" t="s">
        <v>235</v>
      </c>
      <c r="DH643" t="s">
        <v>212</v>
      </c>
      <c r="DJ643" t="s">
        <v>236</v>
      </c>
      <c r="DM643" t="s">
        <v>212</v>
      </c>
    </row>
    <row r="644" spans="1:184" x14ac:dyDescent="0.3">
      <c r="A644">
        <v>22416754</v>
      </c>
      <c r="B644">
        <v>321903</v>
      </c>
      <c r="C644" t="str">
        <f>"120402602461"</f>
        <v>120402602461</v>
      </c>
      <c r="D644" t="s">
        <v>1758</v>
      </c>
      <c r="E644" t="s">
        <v>1425</v>
      </c>
      <c r="F644" t="s">
        <v>1133</v>
      </c>
      <c r="G644" s="1">
        <v>41001</v>
      </c>
      <c r="I644" t="s">
        <v>199</v>
      </c>
      <c r="J644" t="s">
        <v>200</v>
      </c>
      <c r="K644" t="s">
        <v>260</v>
      </c>
      <c r="Q644" t="s">
        <v>212</v>
      </c>
      <c r="R644" t="str">
        <f>"КАЗАХСТАН, АКМОЛИНСКАЯ, СТЕПНОГОРСК, 6"</f>
        <v>КАЗАХСТАН, АКМОЛИНСКАЯ, СТЕПНОГОРСК, 6</v>
      </c>
      <c r="S644" t="str">
        <f>"ҚАЗАҚСТАН, АҚМОЛА, СТЕПНОГОР, 6"</f>
        <v>ҚАЗАҚСТАН, АҚМОЛА, СТЕПНОГОР, 6</v>
      </c>
      <c r="T644" t="str">
        <f>"6"</f>
        <v>6</v>
      </c>
      <c r="U644" t="str">
        <f>"6"</f>
        <v>6</v>
      </c>
      <c r="AC644" t="str">
        <f>"2022-07-13T00:00:00"</f>
        <v>2022-07-13T00:00:00</v>
      </c>
      <c r="AD644" t="str">
        <f>"61"</f>
        <v>61</v>
      </c>
      <c r="AE644" t="str">
        <f>"2023-09-01T17:23:29"</f>
        <v>2023-09-01T17:23:29</v>
      </c>
      <c r="AF644" t="str">
        <f>"2024-05-25T17:23:29"</f>
        <v>2024-05-25T17:23:29</v>
      </c>
      <c r="AG644" t="s">
        <v>202</v>
      </c>
      <c r="AI644" t="s">
        <v>203</v>
      </c>
      <c r="AJ644" t="s">
        <v>419</v>
      </c>
      <c r="AK644" t="s">
        <v>246</v>
      </c>
      <c r="AL644" t="s">
        <v>206</v>
      </c>
      <c r="AN644" t="s">
        <v>207</v>
      </c>
      <c r="AO644">
        <v>1</v>
      </c>
      <c r="AP644" t="s">
        <v>208</v>
      </c>
      <c r="AQ644" t="s">
        <v>209</v>
      </c>
      <c r="AR644" t="s">
        <v>307</v>
      </c>
      <c r="AW644" t="s">
        <v>206</v>
      </c>
      <c r="AX644" t="s">
        <v>211</v>
      </c>
      <c r="AZ644" t="s">
        <v>209</v>
      </c>
      <c r="BI644" t="s">
        <v>212</v>
      </c>
      <c r="BJ644" t="s">
        <v>213</v>
      </c>
      <c r="BK644" t="s">
        <v>214</v>
      </c>
      <c r="BL644" t="s">
        <v>357</v>
      </c>
      <c r="BN644" t="s">
        <v>216</v>
      </c>
      <c r="BO644" t="s">
        <v>209</v>
      </c>
      <c r="BP644" t="s">
        <v>241</v>
      </c>
      <c r="BQ644">
        <v>4</v>
      </c>
      <c r="BS644" t="s">
        <v>219</v>
      </c>
      <c r="BT644" t="s">
        <v>220</v>
      </c>
      <c r="BU644" t="s">
        <v>206</v>
      </c>
      <c r="CA644" t="s">
        <v>287</v>
      </c>
      <c r="CC644" t="s">
        <v>222</v>
      </c>
      <c r="CD644" t="s">
        <v>223</v>
      </c>
      <c r="CE644" t="s">
        <v>242</v>
      </c>
      <c r="CJ644" t="s">
        <v>206</v>
      </c>
      <c r="CK644" t="s">
        <v>230</v>
      </c>
      <c r="CL644" t="s">
        <v>231</v>
      </c>
      <c r="CM644" t="s">
        <v>232</v>
      </c>
      <c r="CN644" t="s">
        <v>233</v>
      </c>
      <c r="CP644" t="s">
        <v>212</v>
      </c>
      <c r="CQ644" t="s">
        <v>212</v>
      </c>
      <c r="CR644" t="s">
        <v>212</v>
      </c>
      <c r="CS644" t="s">
        <v>212</v>
      </c>
      <c r="CY644" t="s">
        <v>212</v>
      </c>
      <c r="DB644" t="s">
        <v>234</v>
      </c>
      <c r="DE644" t="s">
        <v>212</v>
      </c>
      <c r="DF644" t="s">
        <v>212</v>
      </c>
      <c r="DG644" t="s">
        <v>235</v>
      </c>
      <c r="DH644" t="s">
        <v>212</v>
      </c>
      <c r="DJ644" t="s">
        <v>421</v>
      </c>
      <c r="DK644" t="s">
        <v>422</v>
      </c>
      <c r="DL644" t="s">
        <v>423</v>
      </c>
      <c r="DM644" t="s">
        <v>206</v>
      </c>
    </row>
    <row r="645" spans="1:184" x14ac:dyDescent="0.3">
      <c r="A645">
        <v>22272264</v>
      </c>
      <c r="B645">
        <v>807161</v>
      </c>
      <c r="C645" t="str">
        <f>"150826500777"</f>
        <v>150826500777</v>
      </c>
      <c r="D645" t="s">
        <v>1759</v>
      </c>
      <c r="E645" t="s">
        <v>410</v>
      </c>
      <c r="F645" t="s">
        <v>1760</v>
      </c>
      <c r="G645" s="1">
        <v>42242</v>
      </c>
      <c r="I645" t="s">
        <v>240</v>
      </c>
      <c r="J645" t="s">
        <v>200</v>
      </c>
      <c r="K645" t="s">
        <v>260</v>
      </c>
      <c r="R645" t="str">
        <f>"КАЗАХСТАН, АКМОЛИНСКАЯ, СТЕПНОГОРСК, 27, 54"</f>
        <v>КАЗАХСТАН, АКМОЛИНСКАЯ, СТЕПНОГОРСК, 27, 54</v>
      </c>
      <c r="S645" t="str">
        <f>"ҚАЗАҚСТАН, АҚМОЛА, СТЕПНОГОР, 27, 54"</f>
        <v>ҚАЗАҚСТАН, АҚМОЛА, СТЕПНОГОР, 27, 54</v>
      </c>
      <c r="T645" t="str">
        <f>"27, 54"</f>
        <v>27, 54</v>
      </c>
      <c r="U645" t="str">
        <f>"27, 54"</f>
        <v>27, 54</v>
      </c>
      <c r="AC645" t="str">
        <f>"2022-08-31T00:00:00"</f>
        <v>2022-08-31T00:00:00</v>
      </c>
      <c r="AD645" t="str">
        <f>"123"</f>
        <v>123</v>
      </c>
      <c r="AG645" t="s">
        <v>202</v>
      </c>
      <c r="AI645" t="s">
        <v>274</v>
      </c>
      <c r="AJ645" t="s">
        <v>570</v>
      </c>
      <c r="AK645" t="s">
        <v>261</v>
      </c>
      <c r="AL645" t="s">
        <v>206</v>
      </c>
      <c r="AN645" t="s">
        <v>207</v>
      </c>
      <c r="AO645">
        <v>2</v>
      </c>
      <c r="AP645" t="s">
        <v>208</v>
      </c>
      <c r="AQ645" t="s">
        <v>209</v>
      </c>
      <c r="AR645" t="s">
        <v>502</v>
      </c>
      <c r="AW645" t="s">
        <v>212</v>
      </c>
      <c r="AZ645" t="s">
        <v>209</v>
      </c>
      <c r="BI645" t="s">
        <v>212</v>
      </c>
      <c r="BJ645" t="s">
        <v>213</v>
      </c>
      <c r="BK645" t="s">
        <v>214</v>
      </c>
      <c r="BL645" t="s">
        <v>357</v>
      </c>
      <c r="BN645" t="s">
        <v>216</v>
      </c>
      <c r="BO645" t="s">
        <v>209</v>
      </c>
      <c r="BP645" t="s">
        <v>241</v>
      </c>
      <c r="BQ645">
        <v>4</v>
      </c>
      <c r="BS645" t="s">
        <v>220</v>
      </c>
      <c r="BU645" t="s">
        <v>206</v>
      </c>
      <c r="BZ645" t="s">
        <v>571</v>
      </c>
      <c r="CA645" t="s">
        <v>287</v>
      </c>
      <c r="CC645" t="s">
        <v>301</v>
      </c>
      <c r="CD645" t="s">
        <v>223</v>
      </c>
      <c r="CE645" t="s">
        <v>242</v>
      </c>
      <c r="CJ645" t="s">
        <v>206</v>
      </c>
      <c r="CK645" t="s">
        <v>230</v>
      </c>
      <c r="CL645" t="s">
        <v>231</v>
      </c>
      <c r="CM645" t="s">
        <v>232</v>
      </c>
      <c r="CN645" t="s">
        <v>233</v>
      </c>
      <c r="CP645" t="s">
        <v>212</v>
      </c>
      <c r="CQ645" t="s">
        <v>212</v>
      </c>
      <c r="CR645" t="s">
        <v>212</v>
      </c>
      <c r="CS645" t="s">
        <v>212</v>
      </c>
      <c r="CY645" t="s">
        <v>212</v>
      </c>
      <c r="DB645" t="s">
        <v>234</v>
      </c>
      <c r="DE645" t="s">
        <v>212</v>
      </c>
      <c r="DF645" t="s">
        <v>212</v>
      </c>
      <c r="DG645" t="s">
        <v>235</v>
      </c>
      <c r="DH645" t="s">
        <v>212</v>
      </c>
      <c r="DJ645" t="s">
        <v>236</v>
      </c>
      <c r="DM645" t="s">
        <v>212</v>
      </c>
      <c r="GB645" t="s">
        <v>206</v>
      </c>
    </row>
    <row r="646" spans="1:184" x14ac:dyDescent="0.3">
      <c r="A646">
        <v>22230396</v>
      </c>
      <c r="B646">
        <v>9599077</v>
      </c>
      <c r="C646" t="str">
        <f>"160906504181"</f>
        <v>160906504181</v>
      </c>
      <c r="D646" t="s">
        <v>1422</v>
      </c>
      <c r="E646" t="s">
        <v>1761</v>
      </c>
      <c r="F646" t="s">
        <v>1423</v>
      </c>
      <c r="G646" s="1">
        <v>42619</v>
      </c>
      <c r="I646" t="s">
        <v>240</v>
      </c>
      <c r="J646" t="s">
        <v>200</v>
      </c>
      <c r="K646" t="s">
        <v>201</v>
      </c>
      <c r="Q646" t="s">
        <v>212</v>
      </c>
      <c r="R646" t="str">
        <f>"КАЗАХСТАН, АКМОЛИНСКАЯ, СТЕПНОГОРСК, 44, 65"</f>
        <v>КАЗАХСТАН, АКМОЛИНСКАЯ, СТЕПНОГОРСК, 44, 65</v>
      </c>
      <c r="S646" t="str">
        <f>"ҚАЗАҚСТАН, АҚМОЛА, СТЕПНОГОР, 44, 65"</f>
        <v>ҚАЗАҚСТАН, АҚМОЛА, СТЕПНОГОР, 44, 65</v>
      </c>
      <c r="T646" t="str">
        <f>"44, 65"</f>
        <v>44, 65</v>
      </c>
      <c r="U646" t="str">
        <f>"44, 65"</f>
        <v>44, 65</v>
      </c>
      <c r="AC646" t="str">
        <f>"2022-08-25T00:00:00"</f>
        <v>2022-08-25T00:00:00</v>
      </c>
      <c r="AD646" t="str">
        <f>"120"</f>
        <v>120</v>
      </c>
      <c r="AE646" t="str">
        <f>"2023-09-01T22:54:01"</f>
        <v>2023-09-01T22:54:01</v>
      </c>
      <c r="AF646" t="str">
        <f>"2024-05-25T22:54:01"</f>
        <v>2024-05-25T22:54:01</v>
      </c>
      <c r="AG646" t="s">
        <v>202</v>
      </c>
      <c r="AI646" t="s">
        <v>299</v>
      </c>
      <c r="AJ646" t="s">
        <v>570</v>
      </c>
      <c r="AK646" t="s">
        <v>253</v>
      </c>
      <c r="AL646" t="s">
        <v>206</v>
      </c>
      <c r="AN646" t="s">
        <v>254</v>
      </c>
      <c r="AO646">
        <v>2</v>
      </c>
      <c r="AP646" t="s">
        <v>208</v>
      </c>
      <c r="AQ646" t="s">
        <v>209</v>
      </c>
      <c r="AR646" t="s">
        <v>502</v>
      </c>
      <c r="AW646" t="s">
        <v>212</v>
      </c>
      <c r="AZ646" t="s">
        <v>209</v>
      </c>
      <c r="BI646" t="s">
        <v>212</v>
      </c>
      <c r="BJ646" t="s">
        <v>213</v>
      </c>
      <c r="BK646" t="s">
        <v>214</v>
      </c>
      <c r="BL646" t="s">
        <v>357</v>
      </c>
      <c r="BN646" t="s">
        <v>216</v>
      </c>
      <c r="BO646" t="s">
        <v>209</v>
      </c>
      <c r="BP646" t="s">
        <v>241</v>
      </c>
      <c r="BQ646">
        <v>4</v>
      </c>
      <c r="BS646" t="s">
        <v>220</v>
      </c>
      <c r="BU646" t="s">
        <v>212</v>
      </c>
      <c r="BZ646" t="s">
        <v>623</v>
      </c>
      <c r="CA646" t="s">
        <v>287</v>
      </c>
      <c r="CC646" t="s">
        <v>209</v>
      </c>
      <c r="CE646" t="s">
        <v>242</v>
      </c>
      <c r="CJ646" t="s">
        <v>206</v>
      </c>
      <c r="CK646" t="s">
        <v>230</v>
      </c>
      <c r="CL646" t="s">
        <v>231</v>
      </c>
      <c r="CM646" t="s">
        <v>232</v>
      </c>
      <c r="CN646" t="s">
        <v>233</v>
      </c>
      <c r="CP646" t="s">
        <v>212</v>
      </c>
      <c r="CQ646" t="s">
        <v>212</v>
      </c>
      <c r="CR646" t="s">
        <v>212</v>
      </c>
      <c r="CS646" t="s">
        <v>212</v>
      </c>
      <c r="CY646" t="s">
        <v>206</v>
      </c>
      <c r="CZ646" t="str">
        <f>"2023-09-29T00:00:00"</f>
        <v>2023-09-29T00:00:00</v>
      </c>
      <c r="DB646" t="s">
        <v>234</v>
      </c>
      <c r="DE646" t="s">
        <v>212</v>
      </c>
      <c r="DF646" t="s">
        <v>212</v>
      </c>
      <c r="DG646" t="s">
        <v>235</v>
      </c>
      <c r="DH646" t="s">
        <v>212</v>
      </c>
      <c r="DJ646" t="s">
        <v>236</v>
      </c>
      <c r="DM646" t="s">
        <v>212</v>
      </c>
      <c r="GB646" t="s">
        <v>206</v>
      </c>
    </row>
    <row r="647" spans="1:184" x14ac:dyDescent="0.3">
      <c r="A647">
        <v>22419808</v>
      </c>
      <c r="B647">
        <v>801497</v>
      </c>
      <c r="C647" t="str">
        <f>"140331504429"</f>
        <v>140331504429</v>
      </c>
      <c r="D647" t="s">
        <v>1762</v>
      </c>
      <c r="E647" t="s">
        <v>1763</v>
      </c>
      <c r="F647" t="s">
        <v>1228</v>
      </c>
      <c r="G647" s="1">
        <v>41729</v>
      </c>
      <c r="I647" t="s">
        <v>240</v>
      </c>
      <c r="J647" t="s">
        <v>200</v>
      </c>
      <c r="K647" t="s">
        <v>369</v>
      </c>
      <c r="Q647" t="s">
        <v>212</v>
      </c>
      <c r="R647" t="str">
        <f>"КАЗАХСТАН, АКМОЛИНСКАЯ, СТЕПНОГОРСК, 27, 45"</f>
        <v>КАЗАХСТАН, АКМОЛИНСКАЯ, СТЕПНОГОРСК, 27, 45</v>
      </c>
      <c r="S647" t="str">
        <f>"ҚАЗАҚСТАН, АҚМОЛА, СТЕПНОГОР, 27, 45"</f>
        <v>ҚАЗАҚСТАН, АҚМОЛА, СТЕПНОГОР, 27, 45</v>
      </c>
      <c r="T647" t="str">
        <f t="shared" ref="T647:U649" si="28">"27, 45"</f>
        <v>27, 45</v>
      </c>
      <c r="U647" t="str">
        <f t="shared" si="28"/>
        <v>27, 45</v>
      </c>
      <c r="AC647" t="str">
        <f>"2022-06-27T00:00:00"</f>
        <v>2022-06-27T00:00:00</v>
      </c>
      <c r="AD647" t="str">
        <f>"45"</f>
        <v>45</v>
      </c>
      <c r="AG647" t="s">
        <v>202</v>
      </c>
      <c r="AI647" t="s">
        <v>269</v>
      </c>
      <c r="AJ647" t="s">
        <v>501</v>
      </c>
      <c r="AK647" t="s">
        <v>261</v>
      </c>
      <c r="AL647" t="s">
        <v>206</v>
      </c>
      <c r="AN647" t="s">
        <v>207</v>
      </c>
      <c r="AO647">
        <v>1</v>
      </c>
      <c r="AP647" t="s">
        <v>208</v>
      </c>
      <c r="AQ647" t="s">
        <v>209</v>
      </c>
      <c r="AR647" t="s">
        <v>502</v>
      </c>
      <c r="AW647" t="s">
        <v>212</v>
      </c>
      <c r="AZ647" t="s">
        <v>209</v>
      </c>
      <c r="BI647" t="s">
        <v>212</v>
      </c>
      <c r="BJ647" t="s">
        <v>213</v>
      </c>
      <c r="BK647" t="s">
        <v>214</v>
      </c>
      <c r="BL647" t="s">
        <v>357</v>
      </c>
      <c r="BN647" t="s">
        <v>216</v>
      </c>
      <c r="BO647" t="s">
        <v>209</v>
      </c>
      <c r="BP647" t="s">
        <v>415</v>
      </c>
      <c r="BQ647" t="s">
        <v>1476</v>
      </c>
      <c r="BS647" t="s">
        <v>219</v>
      </c>
      <c r="BT647" t="s">
        <v>220</v>
      </c>
      <c r="BU647" t="s">
        <v>206</v>
      </c>
      <c r="BX647" t="s">
        <v>234</v>
      </c>
      <c r="BY647" t="s">
        <v>234</v>
      </c>
      <c r="BZ647" t="s">
        <v>503</v>
      </c>
      <c r="CA647" t="s">
        <v>287</v>
      </c>
      <c r="CC647" t="s">
        <v>222</v>
      </c>
      <c r="CD647" t="s">
        <v>223</v>
      </c>
      <c r="CE647" t="s">
        <v>242</v>
      </c>
      <c r="CJ647" t="s">
        <v>206</v>
      </c>
      <c r="CK647" t="s">
        <v>230</v>
      </c>
      <c r="CL647" t="s">
        <v>231</v>
      </c>
      <c r="CM647" t="s">
        <v>232</v>
      </c>
      <c r="CN647" t="s">
        <v>233</v>
      </c>
      <c r="CP647" t="s">
        <v>212</v>
      </c>
      <c r="CQ647" t="s">
        <v>212</v>
      </c>
      <c r="CR647" t="s">
        <v>212</v>
      </c>
      <c r="CS647" t="s">
        <v>212</v>
      </c>
      <c r="CY647" t="s">
        <v>212</v>
      </c>
      <c r="DB647" t="s">
        <v>234</v>
      </c>
      <c r="DE647" t="s">
        <v>212</v>
      </c>
      <c r="DF647" t="s">
        <v>212</v>
      </c>
      <c r="DG647" t="s">
        <v>235</v>
      </c>
      <c r="DH647" t="s">
        <v>212</v>
      </c>
      <c r="DJ647" t="s">
        <v>236</v>
      </c>
      <c r="DM647" t="s">
        <v>206</v>
      </c>
    </row>
    <row r="648" spans="1:184" x14ac:dyDescent="0.3">
      <c r="A648">
        <v>22419811</v>
      </c>
      <c r="B648">
        <v>180427</v>
      </c>
      <c r="C648" t="str">
        <f>"120821500179"</f>
        <v>120821500179</v>
      </c>
      <c r="D648" t="s">
        <v>1762</v>
      </c>
      <c r="E648" t="s">
        <v>244</v>
      </c>
      <c r="F648" t="s">
        <v>1228</v>
      </c>
      <c r="G648" s="1">
        <v>41142</v>
      </c>
      <c r="I648" t="s">
        <v>240</v>
      </c>
      <c r="J648" t="s">
        <v>200</v>
      </c>
      <c r="K648" t="s">
        <v>369</v>
      </c>
      <c r="Q648" t="s">
        <v>212</v>
      </c>
      <c r="R648" t="str">
        <f>"КАЗАХСТАН, АКМОЛИНСКАЯ, СТЕПНОГОРСК, 27, 45"</f>
        <v>КАЗАХСТАН, АКМОЛИНСКАЯ, СТЕПНОГОРСК, 27, 45</v>
      </c>
      <c r="S648" t="str">
        <f>"ҚАЗАҚСТАН, АҚМОЛА, СТЕПНОГОР, 27, 45"</f>
        <v>ҚАЗАҚСТАН, АҚМОЛА, СТЕПНОГОР, 27, 45</v>
      </c>
      <c r="T648" t="str">
        <f t="shared" si="28"/>
        <v>27, 45</v>
      </c>
      <c r="U648" t="str">
        <f t="shared" si="28"/>
        <v>27, 45</v>
      </c>
      <c r="AC648" t="str">
        <f>"2022-06-27T00:00:00"</f>
        <v>2022-06-27T00:00:00</v>
      </c>
      <c r="AD648" t="str">
        <f>"46"</f>
        <v>46</v>
      </c>
      <c r="AG648" t="s">
        <v>202</v>
      </c>
      <c r="AI648" t="s">
        <v>269</v>
      </c>
      <c r="AJ648" t="s">
        <v>419</v>
      </c>
      <c r="AK648" t="s">
        <v>246</v>
      </c>
      <c r="AL648" t="s">
        <v>206</v>
      </c>
      <c r="AN648" t="s">
        <v>207</v>
      </c>
      <c r="AO648">
        <v>1</v>
      </c>
      <c r="AP648" t="s">
        <v>208</v>
      </c>
      <c r="AQ648" t="s">
        <v>209</v>
      </c>
      <c r="AR648" t="s">
        <v>210</v>
      </c>
      <c r="AW648" t="s">
        <v>206</v>
      </c>
      <c r="AX648" t="s">
        <v>211</v>
      </c>
      <c r="AZ648" t="s">
        <v>209</v>
      </c>
      <c r="BI648" t="s">
        <v>212</v>
      </c>
      <c r="BJ648" t="s">
        <v>213</v>
      </c>
      <c r="BK648" t="s">
        <v>214</v>
      </c>
      <c r="BL648" t="s">
        <v>357</v>
      </c>
      <c r="BN648" t="s">
        <v>247</v>
      </c>
      <c r="BO648" t="s">
        <v>209</v>
      </c>
      <c r="BP648" t="s">
        <v>415</v>
      </c>
      <c r="BQ648" t="s">
        <v>416</v>
      </c>
      <c r="BS648" t="s">
        <v>219</v>
      </c>
      <c r="BT648" t="s">
        <v>220</v>
      </c>
      <c r="BU648" t="s">
        <v>206</v>
      </c>
      <c r="BX648" t="s">
        <v>234</v>
      </c>
      <c r="BY648" t="s">
        <v>234</v>
      </c>
      <c r="CA648" t="s">
        <v>287</v>
      </c>
      <c r="CC648" t="s">
        <v>256</v>
      </c>
      <c r="CD648" t="s">
        <v>223</v>
      </c>
      <c r="CE648" t="s">
        <v>242</v>
      </c>
      <c r="CJ648" t="s">
        <v>206</v>
      </c>
      <c r="CK648" t="s">
        <v>230</v>
      </c>
      <c r="CL648" t="s">
        <v>231</v>
      </c>
      <c r="CM648" t="s">
        <v>232</v>
      </c>
      <c r="CN648" t="s">
        <v>233</v>
      </c>
      <c r="CP648" t="s">
        <v>212</v>
      </c>
      <c r="CQ648" t="s">
        <v>212</v>
      </c>
      <c r="CR648" t="s">
        <v>212</v>
      </c>
      <c r="CS648" t="s">
        <v>212</v>
      </c>
      <c r="CY648" t="s">
        <v>212</v>
      </c>
      <c r="DB648" t="s">
        <v>234</v>
      </c>
      <c r="DE648" t="s">
        <v>212</v>
      </c>
      <c r="DF648" t="s">
        <v>212</v>
      </c>
      <c r="DG648" t="s">
        <v>235</v>
      </c>
      <c r="DH648" t="s">
        <v>212</v>
      </c>
      <c r="DJ648" t="s">
        <v>236</v>
      </c>
      <c r="DM648" t="s">
        <v>206</v>
      </c>
    </row>
    <row r="649" spans="1:184" x14ac:dyDescent="0.3">
      <c r="A649">
        <v>22419814</v>
      </c>
      <c r="B649">
        <v>180327</v>
      </c>
      <c r="C649" t="str">
        <f>"100806650533"</f>
        <v>100806650533</v>
      </c>
      <c r="D649" t="s">
        <v>1347</v>
      </c>
      <c r="E649" t="s">
        <v>1764</v>
      </c>
      <c r="F649" t="s">
        <v>198</v>
      </c>
      <c r="G649" s="1">
        <v>40396</v>
      </c>
      <c r="I649" t="s">
        <v>199</v>
      </c>
      <c r="J649" t="s">
        <v>200</v>
      </c>
      <c r="K649" t="s">
        <v>369</v>
      </c>
      <c r="R649" t="str">
        <f>"АНДОРРА, АКМОЛИНСКАЯ, СТЕПНОГОРСК, 27, 45"</f>
        <v>АНДОРРА, АКМОЛИНСКАЯ, СТЕПНОГОРСК, 27, 45</v>
      </c>
      <c r="S649" t="str">
        <f>"АНДОРРА, АҚМОЛА, СТЕПНОГОР, 27, 45"</f>
        <v>АНДОРРА, АҚМОЛА, СТЕПНОГОР, 27, 45</v>
      </c>
      <c r="T649" t="str">
        <f t="shared" si="28"/>
        <v>27, 45</v>
      </c>
      <c r="U649" t="str">
        <f t="shared" si="28"/>
        <v>27, 45</v>
      </c>
      <c r="AC649" t="str">
        <f>"2022-06-27T00:00:00"</f>
        <v>2022-06-27T00:00:00</v>
      </c>
      <c r="AD649" t="str">
        <f>"44"</f>
        <v>44</v>
      </c>
      <c r="AG649" t="s">
        <v>202</v>
      </c>
      <c r="AI649" t="s">
        <v>274</v>
      </c>
      <c r="AJ649" t="s">
        <v>300</v>
      </c>
      <c r="AK649" t="s">
        <v>261</v>
      </c>
      <c r="AL649" t="s">
        <v>206</v>
      </c>
      <c r="AN649" t="s">
        <v>207</v>
      </c>
      <c r="AO649">
        <v>1</v>
      </c>
      <c r="AP649" t="s">
        <v>208</v>
      </c>
      <c r="AQ649" t="s">
        <v>209</v>
      </c>
      <c r="AR649" t="s">
        <v>210</v>
      </c>
      <c r="AW649" t="s">
        <v>206</v>
      </c>
      <c r="AX649" t="s">
        <v>211</v>
      </c>
      <c r="AZ649" t="s">
        <v>209</v>
      </c>
      <c r="BI649" t="s">
        <v>212</v>
      </c>
      <c r="BJ649" t="s">
        <v>213</v>
      </c>
      <c r="BK649" t="s">
        <v>214</v>
      </c>
      <c r="BL649" t="s">
        <v>215</v>
      </c>
      <c r="BN649" t="s">
        <v>247</v>
      </c>
      <c r="BO649" t="s">
        <v>209</v>
      </c>
      <c r="BP649" t="s">
        <v>241</v>
      </c>
      <c r="BQ649">
        <v>3</v>
      </c>
      <c r="BS649" t="s">
        <v>219</v>
      </c>
      <c r="BT649" t="s">
        <v>220</v>
      </c>
      <c r="BU649" t="s">
        <v>206</v>
      </c>
      <c r="BX649" t="s">
        <v>234</v>
      </c>
      <c r="BY649" t="s">
        <v>234</v>
      </c>
      <c r="CA649" t="s">
        <v>287</v>
      </c>
      <c r="CC649" t="s">
        <v>222</v>
      </c>
      <c r="CD649" t="s">
        <v>223</v>
      </c>
      <c r="CE649" t="s">
        <v>242</v>
      </c>
      <c r="CJ649" t="s">
        <v>206</v>
      </c>
      <c r="CK649" t="s">
        <v>230</v>
      </c>
      <c r="CL649" t="s">
        <v>231</v>
      </c>
      <c r="CM649" t="s">
        <v>232</v>
      </c>
      <c r="CN649" t="s">
        <v>233</v>
      </c>
      <c r="CP649" t="s">
        <v>212</v>
      </c>
      <c r="CQ649" t="s">
        <v>212</v>
      </c>
      <c r="CR649" t="s">
        <v>212</v>
      </c>
      <c r="CS649" t="s">
        <v>212</v>
      </c>
      <c r="CY649" t="s">
        <v>212</v>
      </c>
      <c r="DB649" t="s">
        <v>234</v>
      </c>
      <c r="DE649" t="s">
        <v>212</v>
      </c>
      <c r="DF649" t="s">
        <v>212</v>
      </c>
      <c r="DG649" t="s">
        <v>235</v>
      </c>
      <c r="DH649" t="s">
        <v>212</v>
      </c>
      <c r="DJ649" t="s">
        <v>236</v>
      </c>
      <c r="DM649" t="s">
        <v>206</v>
      </c>
    </row>
    <row r="650" spans="1:184" x14ac:dyDescent="0.3">
      <c r="A650">
        <v>22456978</v>
      </c>
      <c r="B650">
        <v>105589</v>
      </c>
      <c r="C650" t="str">
        <f>"081229651185"</f>
        <v>081229651185</v>
      </c>
      <c r="D650" t="s">
        <v>1765</v>
      </c>
      <c r="E650" t="s">
        <v>312</v>
      </c>
      <c r="F650" t="s">
        <v>418</v>
      </c>
      <c r="G650" s="1">
        <v>39811</v>
      </c>
      <c r="I650" t="s">
        <v>199</v>
      </c>
      <c r="J650" t="s">
        <v>200</v>
      </c>
      <c r="K650" t="s">
        <v>201</v>
      </c>
      <c r="Q650" t="s">
        <v>212</v>
      </c>
      <c r="R650" t="str">
        <f>"КАЗАХСТАН, АКМОЛИНСКАЯ, СТЕПНОГОРСК, 39, 27"</f>
        <v>КАЗАХСТАН, АКМОЛИНСКАЯ, СТЕПНОГОРСК, 39, 27</v>
      </c>
      <c r="S650" t="str">
        <f>"ҚАЗАҚСТАН, АҚМОЛА, СТЕПНОГОР, 39, 27"</f>
        <v>ҚАЗАҚСТАН, АҚМОЛА, СТЕПНОГОР, 39, 27</v>
      </c>
      <c r="T650" t="str">
        <f>"39, 27"</f>
        <v>39, 27</v>
      </c>
      <c r="U650" t="str">
        <f>"39, 27"</f>
        <v>39, 27</v>
      </c>
      <c r="AC650" t="str">
        <f>"2022-06-16T00:00:00"</f>
        <v>2022-06-16T00:00:00</v>
      </c>
      <c r="AD650" t="str">
        <f>"31"</f>
        <v>31</v>
      </c>
      <c r="AE650" t="str">
        <f>"2023-09-01T17:35:45"</f>
        <v>2023-09-01T17:35:45</v>
      </c>
      <c r="AF650" t="str">
        <f>"2024-05-25T17:35:45"</f>
        <v>2024-05-25T17:35:45</v>
      </c>
      <c r="AG650" t="s">
        <v>333</v>
      </c>
      <c r="AH650" t="str">
        <f>"ckool007@mail.ru"</f>
        <v>ckool007@mail.ru</v>
      </c>
      <c r="AI650" t="s">
        <v>203</v>
      </c>
      <c r="AJ650" t="s">
        <v>204</v>
      </c>
      <c r="AK650" t="s">
        <v>246</v>
      </c>
      <c r="AL650" t="s">
        <v>206</v>
      </c>
      <c r="AN650" t="s">
        <v>207</v>
      </c>
      <c r="AO650">
        <v>1</v>
      </c>
      <c r="AP650" t="s">
        <v>208</v>
      </c>
      <c r="AQ650" t="s">
        <v>209</v>
      </c>
      <c r="AR650" t="s">
        <v>210</v>
      </c>
      <c r="AW650" t="s">
        <v>206</v>
      </c>
      <c r="AX650" t="s">
        <v>211</v>
      </c>
      <c r="AZ650" t="s">
        <v>209</v>
      </c>
      <c r="BI650" t="s">
        <v>212</v>
      </c>
      <c r="BJ650" t="s">
        <v>213</v>
      </c>
      <c r="BK650" t="s">
        <v>214</v>
      </c>
      <c r="BL650" t="s">
        <v>357</v>
      </c>
      <c r="BN650" t="s">
        <v>216</v>
      </c>
      <c r="BO650" t="s">
        <v>209</v>
      </c>
      <c r="BP650" t="s">
        <v>217</v>
      </c>
      <c r="BQ650" t="s">
        <v>218</v>
      </c>
      <c r="BS650" t="s">
        <v>219</v>
      </c>
      <c r="BT650" t="s">
        <v>220</v>
      </c>
      <c r="BU650" t="s">
        <v>206</v>
      </c>
      <c r="CA650" t="s">
        <v>287</v>
      </c>
      <c r="CC650" t="s">
        <v>209</v>
      </c>
      <c r="CE650" t="s">
        <v>242</v>
      </c>
      <c r="CJ650" t="s">
        <v>206</v>
      </c>
      <c r="CK650" t="s">
        <v>230</v>
      </c>
      <c r="CL650" t="s">
        <v>231</v>
      </c>
      <c r="CM650" t="s">
        <v>232</v>
      </c>
      <c r="CN650" t="s">
        <v>233</v>
      </c>
      <c r="CP650" t="s">
        <v>212</v>
      </c>
      <c r="CQ650" t="s">
        <v>212</v>
      </c>
      <c r="CR650" t="s">
        <v>212</v>
      </c>
      <c r="CS650" t="s">
        <v>212</v>
      </c>
      <c r="CY650" t="s">
        <v>212</v>
      </c>
      <c r="DB650" t="s">
        <v>234</v>
      </c>
      <c r="DE650" t="s">
        <v>212</v>
      </c>
      <c r="DF650" t="s">
        <v>212</v>
      </c>
      <c r="DG650" t="s">
        <v>235</v>
      </c>
      <c r="DH650" t="s">
        <v>206</v>
      </c>
      <c r="DI650" t="s">
        <v>663</v>
      </c>
      <c r="DJ650" t="s">
        <v>664</v>
      </c>
      <c r="DK650" t="s">
        <v>422</v>
      </c>
      <c r="DL650" t="s">
        <v>423</v>
      </c>
      <c r="DM650" t="s">
        <v>212</v>
      </c>
    </row>
    <row r="651" spans="1:184" x14ac:dyDescent="0.3">
      <c r="A651">
        <v>22473639</v>
      </c>
      <c r="B651">
        <v>825056</v>
      </c>
      <c r="C651" t="str">
        <f>"141016502661"</f>
        <v>141016502661</v>
      </c>
      <c r="D651" t="s">
        <v>1766</v>
      </c>
      <c r="E651" t="s">
        <v>410</v>
      </c>
      <c r="F651" t="s">
        <v>843</v>
      </c>
      <c r="G651" s="1">
        <v>41928</v>
      </c>
      <c r="I651" t="s">
        <v>240</v>
      </c>
      <c r="J651" t="s">
        <v>200</v>
      </c>
      <c r="K651" t="s">
        <v>260</v>
      </c>
      <c r="R651" t="str">
        <f>"КАЗАХСТАН, АКМОЛИНСКАЯ, СТЕПНОГОРСК, 97, 3"</f>
        <v>КАЗАХСТАН, АКМОЛИНСКАЯ, СТЕПНОГОРСК, 97, 3</v>
      </c>
      <c r="S651" t="str">
        <f>"ҚАЗАҚСТАН, АҚМОЛА, СТЕПНОГОР, 97, 3"</f>
        <v>ҚАЗАҚСТАН, АҚМОЛА, СТЕПНОГОР, 97, 3</v>
      </c>
      <c r="T651" t="str">
        <f>"97, 3"</f>
        <v>97, 3</v>
      </c>
      <c r="U651" t="str">
        <f>"97, 3"</f>
        <v>97, 3</v>
      </c>
      <c r="AC651" t="str">
        <f>"2022-08-25T00:00:00"</f>
        <v>2022-08-25T00:00:00</v>
      </c>
      <c r="AD651" t="str">
        <f>"120"</f>
        <v>120</v>
      </c>
      <c r="AG651" t="s">
        <v>202</v>
      </c>
      <c r="AI651" t="s">
        <v>299</v>
      </c>
      <c r="AJ651" t="s">
        <v>570</v>
      </c>
      <c r="AK651" t="s">
        <v>205</v>
      </c>
      <c r="AL651" t="s">
        <v>206</v>
      </c>
      <c r="AN651" t="s">
        <v>207</v>
      </c>
      <c r="AO651">
        <v>2</v>
      </c>
      <c r="AP651" t="s">
        <v>208</v>
      </c>
      <c r="AQ651" t="s">
        <v>209</v>
      </c>
      <c r="AR651" t="s">
        <v>502</v>
      </c>
      <c r="AW651" t="s">
        <v>212</v>
      </c>
      <c r="AZ651" t="s">
        <v>209</v>
      </c>
      <c r="BI651" t="s">
        <v>212</v>
      </c>
      <c r="BJ651" t="s">
        <v>213</v>
      </c>
      <c r="BK651" t="s">
        <v>214</v>
      </c>
      <c r="BL651" t="s">
        <v>357</v>
      </c>
      <c r="BN651" t="s">
        <v>247</v>
      </c>
      <c r="BO651" t="s">
        <v>209</v>
      </c>
      <c r="BP651" t="s">
        <v>241</v>
      </c>
      <c r="BQ651">
        <v>3</v>
      </c>
      <c r="BS651" t="s">
        <v>220</v>
      </c>
      <c r="BU651" t="s">
        <v>212</v>
      </c>
      <c r="BZ651" t="s">
        <v>623</v>
      </c>
      <c r="CA651" t="s">
        <v>287</v>
      </c>
      <c r="CC651" t="s">
        <v>222</v>
      </c>
      <c r="CD651" t="s">
        <v>223</v>
      </c>
      <c r="CE651" t="s">
        <v>242</v>
      </c>
      <c r="CJ651" t="s">
        <v>206</v>
      </c>
      <c r="CK651" t="s">
        <v>230</v>
      </c>
      <c r="CL651" t="s">
        <v>231</v>
      </c>
      <c r="CM651" t="s">
        <v>232</v>
      </c>
      <c r="CN651" t="s">
        <v>233</v>
      </c>
      <c r="CP651" t="s">
        <v>212</v>
      </c>
      <c r="CQ651" t="s">
        <v>212</v>
      </c>
      <c r="CR651" t="s">
        <v>212</v>
      </c>
      <c r="CS651" t="s">
        <v>212</v>
      </c>
      <c r="CY651" t="s">
        <v>212</v>
      </c>
      <c r="DB651" t="s">
        <v>234</v>
      </c>
      <c r="DE651" t="s">
        <v>212</v>
      </c>
      <c r="DF651" t="s">
        <v>212</v>
      </c>
      <c r="DG651" t="s">
        <v>235</v>
      </c>
      <c r="DH651" t="s">
        <v>212</v>
      </c>
      <c r="DJ651" t="s">
        <v>236</v>
      </c>
      <c r="DM651" t="s">
        <v>212</v>
      </c>
    </row>
    <row r="652" spans="1:184" x14ac:dyDescent="0.3">
      <c r="A652">
        <v>22473652</v>
      </c>
      <c r="B652">
        <v>263370</v>
      </c>
      <c r="C652" t="str">
        <f>"080512654869"</f>
        <v>080512654869</v>
      </c>
      <c r="D652" t="s">
        <v>1767</v>
      </c>
      <c r="E652" t="s">
        <v>1768</v>
      </c>
      <c r="F652" t="s">
        <v>1769</v>
      </c>
      <c r="G652" s="1">
        <v>39580</v>
      </c>
      <c r="I652" t="s">
        <v>199</v>
      </c>
      <c r="J652" t="s">
        <v>200</v>
      </c>
      <c r="K652" t="s">
        <v>201</v>
      </c>
      <c r="R652" t="str">
        <f>"АНДОРРА, АКМОЛИНСКАЯ, СТЕПНОГОРСК, 15, 4"</f>
        <v>АНДОРРА, АКМОЛИНСКАЯ, СТЕПНОГОРСК, 15, 4</v>
      </c>
      <c r="S652" t="str">
        <f>"АНДОРРА, АҚМОЛА, СТЕПНОГОР, 15, 4"</f>
        <v>АНДОРРА, АҚМОЛА, СТЕПНОГОР, 15, 4</v>
      </c>
      <c r="T652" t="str">
        <f>"15, 4"</f>
        <v>15, 4</v>
      </c>
      <c r="U652" t="str">
        <f>"15, 4"</f>
        <v>15, 4</v>
      </c>
      <c r="AC652" t="str">
        <f>"2022-07-14T00:00:00"</f>
        <v>2022-07-14T00:00:00</v>
      </c>
      <c r="AD652" t="str">
        <f>"62"</f>
        <v>62</v>
      </c>
      <c r="AG652" t="s">
        <v>202</v>
      </c>
      <c r="AH652" t="str">
        <f>"ckool007@mail.ru"</f>
        <v>ckool007@mail.ru</v>
      </c>
      <c r="AI652" t="s">
        <v>203</v>
      </c>
      <c r="AJ652" t="s">
        <v>204</v>
      </c>
      <c r="AK652" t="s">
        <v>246</v>
      </c>
      <c r="AL652" t="s">
        <v>206</v>
      </c>
      <c r="AN652" t="s">
        <v>207</v>
      </c>
      <c r="AO652">
        <v>1</v>
      </c>
      <c r="AP652" t="s">
        <v>208</v>
      </c>
      <c r="AQ652" t="s">
        <v>209</v>
      </c>
      <c r="AR652" t="s">
        <v>210</v>
      </c>
      <c r="AW652" t="s">
        <v>206</v>
      </c>
      <c r="AX652" t="s">
        <v>211</v>
      </c>
      <c r="AZ652" t="s">
        <v>209</v>
      </c>
      <c r="BI652" t="s">
        <v>212</v>
      </c>
      <c r="BJ652" t="s">
        <v>213</v>
      </c>
      <c r="BK652" t="s">
        <v>214</v>
      </c>
      <c r="BL652" t="s">
        <v>215</v>
      </c>
      <c r="BN652" t="s">
        <v>216</v>
      </c>
      <c r="BO652" t="s">
        <v>209</v>
      </c>
      <c r="BP652" t="s">
        <v>217</v>
      </c>
      <c r="BQ652" t="s">
        <v>1770</v>
      </c>
      <c r="BS652" t="s">
        <v>219</v>
      </c>
      <c r="BT652" t="s">
        <v>220</v>
      </c>
      <c r="BU652" t="s">
        <v>206</v>
      </c>
      <c r="CA652" t="s">
        <v>287</v>
      </c>
      <c r="CC652" t="s">
        <v>209</v>
      </c>
      <c r="CE652" t="s">
        <v>242</v>
      </c>
      <c r="CJ652" t="s">
        <v>206</v>
      </c>
      <c r="CK652" t="s">
        <v>230</v>
      </c>
      <c r="CL652" t="s">
        <v>231</v>
      </c>
      <c r="CM652" t="s">
        <v>232</v>
      </c>
      <c r="CN652" t="s">
        <v>233</v>
      </c>
      <c r="CP652" t="s">
        <v>212</v>
      </c>
      <c r="CQ652" t="s">
        <v>212</v>
      </c>
      <c r="CR652" t="s">
        <v>212</v>
      </c>
      <c r="CS652" t="s">
        <v>212</v>
      </c>
      <c r="CY652" t="s">
        <v>212</v>
      </c>
      <c r="DB652" t="s">
        <v>234</v>
      </c>
      <c r="DE652" t="s">
        <v>212</v>
      </c>
      <c r="DF652" t="s">
        <v>212</v>
      </c>
      <c r="DG652" t="s">
        <v>235</v>
      </c>
      <c r="DH652" t="s">
        <v>212</v>
      </c>
      <c r="DJ652" t="s">
        <v>236</v>
      </c>
      <c r="DM652" t="s">
        <v>206</v>
      </c>
    </row>
    <row r="653" spans="1:184" x14ac:dyDescent="0.3">
      <c r="A653">
        <v>22501912</v>
      </c>
      <c r="B653">
        <v>9220399</v>
      </c>
      <c r="C653" t="str">
        <f>"160418502073"</f>
        <v>160418502073</v>
      </c>
      <c r="D653" t="s">
        <v>1771</v>
      </c>
      <c r="E653" t="s">
        <v>402</v>
      </c>
      <c r="F653" t="s">
        <v>1772</v>
      </c>
      <c r="G653" s="1">
        <v>42478</v>
      </c>
      <c r="I653" t="s">
        <v>240</v>
      </c>
      <c r="J653" t="s">
        <v>200</v>
      </c>
      <c r="K653" t="s">
        <v>260</v>
      </c>
      <c r="R653" t="str">
        <f>"КАЗАХСТАН, АКМОЛИНСКАЯ, СТЕПНОГОРСК, КЕНТI Аксу, 28"</f>
        <v>КАЗАХСТАН, АКМОЛИНСКАЯ, СТЕПНОГОРСК, КЕНТI Аксу, 28</v>
      </c>
      <c r="S653" t="str">
        <f>"ҚАЗАҚСТАН, АҚМОЛА, СТЕПНОГОР, КЕНТI Аксу, 28"</f>
        <v>ҚАЗАҚСТАН, АҚМОЛА, СТЕПНОГОР, КЕНТI Аксу, 28</v>
      </c>
      <c r="T653" t="str">
        <f>"КЕНТI Аксу, 28"</f>
        <v>КЕНТI Аксу, 28</v>
      </c>
      <c r="U653" t="str">
        <f>"КЕНТI Аксу, 28"</f>
        <v>КЕНТI Аксу, 28</v>
      </c>
      <c r="AC653" t="str">
        <f>"2022-08-25T00:00:00"</f>
        <v>2022-08-25T00:00:00</v>
      </c>
      <c r="AD653" t="str">
        <f>"120"</f>
        <v>120</v>
      </c>
      <c r="AG653" t="s">
        <v>202</v>
      </c>
      <c r="AI653" t="s">
        <v>299</v>
      </c>
      <c r="AJ653" t="s">
        <v>570</v>
      </c>
      <c r="AK653" t="s">
        <v>205</v>
      </c>
      <c r="AL653" t="s">
        <v>206</v>
      </c>
      <c r="AN653" t="s">
        <v>207</v>
      </c>
      <c r="AO653">
        <v>2</v>
      </c>
      <c r="AP653" t="s">
        <v>208</v>
      </c>
      <c r="AQ653" t="s">
        <v>209</v>
      </c>
      <c r="AR653" t="s">
        <v>502</v>
      </c>
      <c r="AW653" t="s">
        <v>212</v>
      </c>
      <c r="AZ653" t="s">
        <v>209</v>
      </c>
      <c r="BI653" t="s">
        <v>212</v>
      </c>
      <c r="BJ653" t="s">
        <v>213</v>
      </c>
      <c r="BK653" t="s">
        <v>214</v>
      </c>
      <c r="BL653" t="s">
        <v>357</v>
      </c>
      <c r="BN653" t="s">
        <v>216</v>
      </c>
      <c r="BO653" t="s">
        <v>209</v>
      </c>
      <c r="BP653" t="s">
        <v>241</v>
      </c>
      <c r="BQ653">
        <v>5</v>
      </c>
      <c r="BS653" t="s">
        <v>220</v>
      </c>
      <c r="BU653" t="s">
        <v>212</v>
      </c>
      <c r="BZ653" t="s">
        <v>623</v>
      </c>
      <c r="CA653" t="s">
        <v>287</v>
      </c>
      <c r="CC653" t="s">
        <v>222</v>
      </c>
      <c r="CD653" t="s">
        <v>223</v>
      </c>
      <c r="CE653" t="s">
        <v>242</v>
      </c>
      <c r="CJ653" t="s">
        <v>206</v>
      </c>
      <c r="CK653" t="s">
        <v>230</v>
      </c>
      <c r="CL653" t="s">
        <v>231</v>
      </c>
      <c r="CM653" t="s">
        <v>232</v>
      </c>
      <c r="CN653" t="s">
        <v>233</v>
      </c>
      <c r="CP653" t="s">
        <v>212</v>
      </c>
      <c r="CQ653" t="s">
        <v>212</v>
      </c>
      <c r="CR653" t="s">
        <v>212</v>
      </c>
      <c r="CS653" t="s">
        <v>212</v>
      </c>
      <c r="CY653" t="s">
        <v>212</v>
      </c>
      <c r="DB653" t="s">
        <v>234</v>
      </c>
      <c r="DE653" t="s">
        <v>212</v>
      </c>
      <c r="DF653" t="s">
        <v>212</v>
      </c>
      <c r="DG653" t="s">
        <v>235</v>
      </c>
      <c r="DH653" t="s">
        <v>212</v>
      </c>
      <c r="DJ653" t="s">
        <v>236</v>
      </c>
      <c r="DM653" t="s">
        <v>212</v>
      </c>
      <c r="GB653" t="s">
        <v>206</v>
      </c>
    </row>
    <row r="654" spans="1:184" x14ac:dyDescent="0.3">
      <c r="A654">
        <v>22517489</v>
      </c>
      <c r="B654">
        <v>126005</v>
      </c>
      <c r="C654" t="str">
        <f>"120113502068"</f>
        <v>120113502068</v>
      </c>
      <c r="D654" t="s">
        <v>1155</v>
      </c>
      <c r="E654" t="s">
        <v>1773</v>
      </c>
      <c r="F654" t="s">
        <v>1084</v>
      </c>
      <c r="G654" s="1">
        <v>40921</v>
      </c>
      <c r="I654" t="s">
        <v>240</v>
      </c>
      <c r="J654" t="s">
        <v>200</v>
      </c>
      <c r="K654" t="s">
        <v>201</v>
      </c>
      <c r="R654" t="str">
        <f>"КАЗАХСТАН, АКМОЛИНСКАЯ, СТЕПНОГОРСК, Заводской, 32, 1"</f>
        <v>КАЗАХСТАН, АКМОЛИНСКАЯ, СТЕПНОГОРСК, Заводской, 32, 1</v>
      </c>
      <c r="S654" t="str">
        <f>"ҚАЗАҚСТАН, АҚМОЛА, СТЕПНОГОР, Заводской, 32, 1"</f>
        <v>ҚАЗАҚСТАН, АҚМОЛА, СТЕПНОГОР, Заводской, 32, 1</v>
      </c>
      <c r="T654" t="str">
        <f>"Заводской, 32, 1"</f>
        <v>Заводской, 32, 1</v>
      </c>
      <c r="U654" t="str">
        <f>"Заводской, 32, 1"</f>
        <v>Заводской, 32, 1</v>
      </c>
      <c r="AC654" t="str">
        <f>"2022-07-27T00:00:00"</f>
        <v>2022-07-27T00:00:00</v>
      </c>
      <c r="AD654" t="str">
        <f>"83"</f>
        <v>83</v>
      </c>
      <c r="AE654" t="str">
        <f>"2023-09-01T17:24:18"</f>
        <v>2023-09-01T17:24:18</v>
      </c>
      <c r="AF654" t="str">
        <f>"2024-05-25T17:24:18"</f>
        <v>2024-05-25T17:24:18</v>
      </c>
      <c r="AG654" t="s">
        <v>202</v>
      </c>
      <c r="AI654" t="s">
        <v>274</v>
      </c>
      <c r="AJ654" t="s">
        <v>348</v>
      </c>
      <c r="AK654" t="s">
        <v>253</v>
      </c>
      <c r="AL654" t="s">
        <v>206</v>
      </c>
      <c r="AN654" t="s">
        <v>254</v>
      </c>
      <c r="AO654">
        <v>1</v>
      </c>
      <c r="AP654" t="s">
        <v>208</v>
      </c>
      <c r="AQ654" t="s">
        <v>209</v>
      </c>
      <c r="AR654" t="s">
        <v>210</v>
      </c>
      <c r="AW654" t="s">
        <v>206</v>
      </c>
      <c r="AX654" t="s">
        <v>211</v>
      </c>
      <c r="AZ654" t="s">
        <v>209</v>
      </c>
      <c r="BI654" t="s">
        <v>212</v>
      </c>
      <c r="BJ654" t="s">
        <v>213</v>
      </c>
      <c r="BK654" t="s">
        <v>214</v>
      </c>
      <c r="BL654" t="s">
        <v>357</v>
      </c>
      <c r="BN654" t="s">
        <v>247</v>
      </c>
      <c r="BO654" t="s">
        <v>209</v>
      </c>
      <c r="BP654" t="s">
        <v>241</v>
      </c>
      <c r="BQ654">
        <v>3</v>
      </c>
      <c r="BS654" t="s">
        <v>219</v>
      </c>
      <c r="BT654" t="s">
        <v>220</v>
      </c>
      <c r="BU654" t="s">
        <v>206</v>
      </c>
      <c r="CA654" t="s">
        <v>287</v>
      </c>
      <c r="CC654" t="s">
        <v>301</v>
      </c>
      <c r="CD654" t="s">
        <v>223</v>
      </c>
      <c r="CE654" t="s">
        <v>242</v>
      </c>
      <c r="CJ654" t="s">
        <v>206</v>
      </c>
      <c r="CK654" t="s">
        <v>230</v>
      </c>
      <c r="CL654" t="s">
        <v>231</v>
      </c>
      <c r="CM654" t="s">
        <v>232</v>
      </c>
      <c r="CN654" t="s">
        <v>233</v>
      </c>
      <c r="CP654" t="s">
        <v>212</v>
      </c>
      <c r="CQ654" t="s">
        <v>212</v>
      </c>
      <c r="CR654" t="s">
        <v>212</v>
      </c>
      <c r="CS654" t="s">
        <v>212</v>
      </c>
      <c r="CY654" t="s">
        <v>212</v>
      </c>
      <c r="DB654" t="s">
        <v>234</v>
      </c>
      <c r="DE654" t="s">
        <v>212</v>
      </c>
      <c r="DF654" t="s">
        <v>212</v>
      </c>
      <c r="DG654" t="s">
        <v>235</v>
      </c>
      <c r="DH654" t="s">
        <v>212</v>
      </c>
      <c r="DJ654" t="s">
        <v>421</v>
      </c>
      <c r="DK654" t="s">
        <v>422</v>
      </c>
      <c r="DL654" t="s">
        <v>423</v>
      </c>
      <c r="DM654" t="s">
        <v>206</v>
      </c>
    </row>
    <row r="655" spans="1:184" x14ac:dyDescent="0.3">
      <c r="A655">
        <v>22517494</v>
      </c>
      <c r="B655">
        <v>124647</v>
      </c>
      <c r="C655" t="str">
        <f>"080902600196"</f>
        <v>080902600196</v>
      </c>
      <c r="D655" t="s">
        <v>1155</v>
      </c>
      <c r="E655" t="s">
        <v>991</v>
      </c>
      <c r="F655" t="s">
        <v>884</v>
      </c>
      <c r="G655" s="1">
        <v>39693</v>
      </c>
      <c r="I655" t="s">
        <v>199</v>
      </c>
      <c r="J655" t="s">
        <v>200</v>
      </c>
      <c r="K655" t="s">
        <v>201</v>
      </c>
      <c r="Q655" t="s">
        <v>212</v>
      </c>
      <c r="R655" t="str">
        <f>"КАЗАХСТАН, АКМОЛИНСКАЯ, СТЕПНОГОРСК, 10, 87"</f>
        <v>КАЗАХСТАН, АКМОЛИНСКАЯ, СТЕПНОГОРСК, 10, 87</v>
      </c>
      <c r="S655" t="str">
        <f>"ҚАЗАҚСТАН, АҚМОЛА, СТЕПНОГОР, 10, 87"</f>
        <v>ҚАЗАҚСТАН, АҚМОЛА, СТЕПНОГОР, 10, 87</v>
      </c>
      <c r="T655" t="str">
        <f>"10, 87"</f>
        <v>10, 87</v>
      </c>
      <c r="U655" t="str">
        <f>"10, 87"</f>
        <v>10, 87</v>
      </c>
      <c r="AC655" t="str">
        <f>"2022-07-27T00:00:00"</f>
        <v>2022-07-27T00:00:00</v>
      </c>
      <c r="AD655" t="str">
        <f>"82"</f>
        <v>82</v>
      </c>
      <c r="AE655" t="str">
        <f>"2023-09-01T16:57:09"</f>
        <v>2023-09-01T16:57:09</v>
      </c>
      <c r="AF655" t="str">
        <f>"2024-05-25T16:57:09"</f>
        <v>2024-05-25T16:57:09</v>
      </c>
      <c r="AG655" t="s">
        <v>202</v>
      </c>
      <c r="AH655" t="str">
        <f>"shkola_zav@mail.ru"</f>
        <v>shkola_zav@mail.ru</v>
      </c>
      <c r="AI655" t="s">
        <v>269</v>
      </c>
      <c r="AJ655" t="s">
        <v>204</v>
      </c>
      <c r="AK655" t="s">
        <v>253</v>
      </c>
      <c r="AL655" t="s">
        <v>206</v>
      </c>
      <c r="AN655" t="s">
        <v>254</v>
      </c>
      <c r="AO655">
        <v>1</v>
      </c>
      <c r="AP655" t="s">
        <v>208</v>
      </c>
      <c r="AQ655" t="s">
        <v>209</v>
      </c>
      <c r="AR655" t="s">
        <v>210</v>
      </c>
      <c r="AW655" t="s">
        <v>206</v>
      </c>
      <c r="AX655" t="s">
        <v>211</v>
      </c>
      <c r="AZ655" t="s">
        <v>209</v>
      </c>
      <c r="BI655" t="s">
        <v>212</v>
      </c>
      <c r="BJ655" t="s">
        <v>213</v>
      </c>
      <c r="BK655" t="s">
        <v>214</v>
      </c>
      <c r="BL655" t="s">
        <v>357</v>
      </c>
      <c r="BN655" t="s">
        <v>216</v>
      </c>
      <c r="BO655" t="s">
        <v>209</v>
      </c>
      <c r="BP655" t="s">
        <v>241</v>
      </c>
      <c r="BQ655">
        <v>4</v>
      </c>
      <c r="BS655" t="s">
        <v>219</v>
      </c>
      <c r="BT655" t="s">
        <v>220</v>
      </c>
      <c r="BU655" t="s">
        <v>206</v>
      </c>
      <c r="CA655" t="s">
        <v>287</v>
      </c>
      <c r="CC655" t="s">
        <v>334</v>
      </c>
      <c r="CD655" t="s">
        <v>223</v>
      </c>
      <c r="CE655" t="s">
        <v>242</v>
      </c>
      <c r="CJ655" t="s">
        <v>206</v>
      </c>
      <c r="CK655" t="s">
        <v>230</v>
      </c>
      <c r="CL655" t="s">
        <v>231</v>
      </c>
      <c r="CM655" t="s">
        <v>232</v>
      </c>
      <c r="CN655" t="s">
        <v>233</v>
      </c>
      <c r="CP655" t="s">
        <v>212</v>
      </c>
      <c r="CQ655" t="s">
        <v>212</v>
      </c>
      <c r="CR655" t="s">
        <v>212</v>
      </c>
      <c r="CS655" t="s">
        <v>212</v>
      </c>
      <c r="CY655" t="s">
        <v>212</v>
      </c>
      <c r="DB655" t="s">
        <v>234</v>
      </c>
      <c r="DE655" t="s">
        <v>212</v>
      </c>
      <c r="DF655" t="s">
        <v>212</v>
      </c>
      <c r="DG655" t="s">
        <v>235</v>
      </c>
      <c r="DH655" t="s">
        <v>212</v>
      </c>
      <c r="DJ655" t="s">
        <v>421</v>
      </c>
      <c r="DK655" t="s">
        <v>422</v>
      </c>
      <c r="DL655" t="s">
        <v>423</v>
      </c>
      <c r="DM655" t="s">
        <v>212</v>
      </c>
    </row>
    <row r="656" spans="1:184" x14ac:dyDescent="0.3">
      <c r="A656">
        <v>22517502</v>
      </c>
      <c r="B656">
        <v>11602473</v>
      </c>
      <c r="C656" t="str">
        <f>"150803602704"</f>
        <v>150803602704</v>
      </c>
      <c r="D656" t="s">
        <v>1155</v>
      </c>
      <c r="E656" t="s">
        <v>1245</v>
      </c>
      <c r="F656" t="s">
        <v>884</v>
      </c>
      <c r="G656" s="1">
        <v>42219</v>
      </c>
      <c r="I656" t="s">
        <v>199</v>
      </c>
      <c r="J656" t="s">
        <v>200</v>
      </c>
      <c r="K656" t="s">
        <v>201</v>
      </c>
      <c r="Q656" t="s">
        <v>212</v>
      </c>
      <c r="R656" t="str">
        <f>"КАЗАХСТАН, АКМОЛИНСКАЯ, СТЕПНОГОРСК, Заводской, 32, 1"</f>
        <v>КАЗАХСТАН, АКМОЛИНСКАЯ, СТЕПНОГОРСК, Заводской, 32, 1</v>
      </c>
      <c r="S656" t="str">
        <f>"ҚАЗАҚСТАН, АҚМОЛА, СТЕПНОГОР, Заводской, 32, 1"</f>
        <v>ҚАЗАҚСТАН, АҚМОЛА, СТЕПНОГОР, Заводской, 32, 1</v>
      </c>
      <c r="T656" t="str">
        <f>"Заводской, 32, 1"</f>
        <v>Заводской, 32, 1</v>
      </c>
      <c r="U656" t="str">
        <f>"Заводской, 32, 1"</f>
        <v>Заводской, 32, 1</v>
      </c>
      <c r="AC656" t="str">
        <f>"2022-08-25T00:00:00"</f>
        <v>2022-08-25T00:00:00</v>
      </c>
      <c r="AD656" t="str">
        <f>"120"</f>
        <v>120</v>
      </c>
      <c r="AE656" t="str">
        <f>"2023-09-01T16:59:57"</f>
        <v>2023-09-01T16:59:57</v>
      </c>
      <c r="AF656" t="str">
        <f>"2024-05-25T16:59:57"</f>
        <v>2024-05-25T16:59:57</v>
      </c>
      <c r="AG656" t="s">
        <v>202</v>
      </c>
      <c r="AI656" t="s">
        <v>274</v>
      </c>
      <c r="AJ656" t="s">
        <v>570</v>
      </c>
      <c r="AK656" t="s">
        <v>434</v>
      </c>
      <c r="AL656" t="s">
        <v>206</v>
      </c>
      <c r="AN656" t="s">
        <v>254</v>
      </c>
      <c r="AO656">
        <v>2</v>
      </c>
      <c r="AP656" t="s">
        <v>208</v>
      </c>
      <c r="AQ656" t="s">
        <v>209</v>
      </c>
      <c r="AR656" t="s">
        <v>502</v>
      </c>
      <c r="AW656" t="s">
        <v>212</v>
      </c>
      <c r="AZ656" t="s">
        <v>209</v>
      </c>
      <c r="BI656" t="s">
        <v>212</v>
      </c>
      <c r="BJ656" t="s">
        <v>213</v>
      </c>
      <c r="BK656" t="s">
        <v>214</v>
      </c>
      <c r="BL656" t="s">
        <v>357</v>
      </c>
      <c r="BN656" t="s">
        <v>216</v>
      </c>
      <c r="BO656" t="s">
        <v>209</v>
      </c>
      <c r="BP656" t="s">
        <v>241</v>
      </c>
      <c r="BQ656">
        <v>4</v>
      </c>
      <c r="BS656" t="s">
        <v>220</v>
      </c>
      <c r="BU656" t="s">
        <v>212</v>
      </c>
      <c r="BZ656" t="s">
        <v>623</v>
      </c>
      <c r="CA656" t="s">
        <v>287</v>
      </c>
      <c r="CC656" t="s">
        <v>209</v>
      </c>
      <c r="CE656" t="s">
        <v>1774</v>
      </c>
      <c r="CF656" t="s">
        <v>763</v>
      </c>
      <c r="CG656" t="s">
        <v>1775</v>
      </c>
      <c r="CH656" t="s">
        <v>1776</v>
      </c>
      <c r="CI656" t="s">
        <v>1777</v>
      </c>
      <c r="CJ656" t="s">
        <v>206</v>
      </c>
      <c r="CK656" t="s">
        <v>230</v>
      </c>
      <c r="CL656" t="s">
        <v>231</v>
      </c>
      <c r="CM656" t="s">
        <v>232</v>
      </c>
      <c r="CN656" t="s">
        <v>233</v>
      </c>
      <c r="CP656" t="s">
        <v>212</v>
      </c>
      <c r="CQ656" t="s">
        <v>212</v>
      </c>
      <c r="CR656" t="s">
        <v>212</v>
      </c>
      <c r="CS656" t="s">
        <v>212</v>
      </c>
      <c r="CY656" t="s">
        <v>212</v>
      </c>
      <c r="DB656" t="s">
        <v>653</v>
      </c>
      <c r="DC656" t="str">
        <f>"№336 Трудности формирования чтения  и письма. Общее недоразвитие речи 3 уровня."</f>
        <v>№336 Трудности формирования чтения  и письма. Общее недоразвитие речи 3 уровня.</v>
      </c>
      <c r="DD656" t="str">
        <f>"2023-04-25T00:00:00"</f>
        <v>2023-04-25T00:00:00</v>
      </c>
      <c r="DE656" t="s">
        <v>212</v>
      </c>
      <c r="DF656" t="s">
        <v>206</v>
      </c>
      <c r="DG656" t="s">
        <v>235</v>
      </c>
      <c r="DH656" t="s">
        <v>212</v>
      </c>
      <c r="DJ656" t="s">
        <v>421</v>
      </c>
      <c r="DK656" t="s">
        <v>422</v>
      </c>
      <c r="DL656" t="s">
        <v>423</v>
      </c>
      <c r="DM656" t="s">
        <v>206</v>
      </c>
    </row>
    <row r="657" spans="1:117" x14ac:dyDescent="0.3">
      <c r="A657">
        <v>22529005</v>
      </c>
      <c r="B657">
        <v>840668</v>
      </c>
      <c r="C657" t="str">
        <f>"150522504152"</f>
        <v>150522504152</v>
      </c>
      <c r="D657" t="s">
        <v>1778</v>
      </c>
      <c r="E657" t="s">
        <v>402</v>
      </c>
      <c r="F657" t="s">
        <v>843</v>
      </c>
      <c r="G657" s="1">
        <v>42146</v>
      </c>
      <c r="I657" t="s">
        <v>240</v>
      </c>
      <c r="J657" t="s">
        <v>200</v>
      </c>
      <c r="K657" t="s">
        <v>306</v>
      </c>
      <c r="Q657" t="s">
        <v>212</v>
      </c>
      <c r="R657" t="str">
        <f>"КАЗАХСТАН, АКМОЛИНСКАЯ, СТЕПНОГОРСК, КЕНТI Аксу, 16"</f>
        <v>КАЗАХСТАН, АКМОЛИНСКАЯ, СТЕПНОГОРСК, КЕНТI Аксу, 16</v>
      </c>
      <c r="S657" t="str">
        <f>"ҚАЗАҚСТАН, АҚМОЛА, СТЕПНОГОР, КЕНТI Аксу, 16"</f>
        <v>ҚАЗАҚСТАН, АҚМОЛА, СТЕПНОГОР, КЕНТI Аксу, 16</v>
      </c>
      <c r="T657" t="str">
        <f>"КЕНТI Аксу, 16"</f>
        <v>КЕНТI Аксу, 16</v>
      </c>
      <c r="U657" t="str">
        <f>"КЕНТI Аксу, 16"</f>
        <v>КЕНТI Аксу, 16</v>
      </c>
      <c r="AC657" t="str">
        <f>"2022-08-25T00:00:00"</f>
        <v>2022-08-25T00:00:00</v>
      </c>
      <c r="AD657" t="str">
        <f>"120"</f>
        <v>120</v>
      </c>
      <c r="AE657" t="str">
        <f>"2023-09-01T16:13:01"</f>
        <v>2023-09-01T16:13:01</v>
      </c>
      <c r="AF657" t="str">
        <f>"2024-05-25T16:13:01"</f>
        <v>2024-05-25T16:13:01</v>
      </c>
      <c r="AG657" t="s">
        <v>202</v>
      </c>
      <c r="AI657" t="s">
        <v>274</v>
      </c>
      <c r="AJ657" t="s">
        <v>570</v>
      </c>
      <c r="AK657" t="s">
        <v>261</v>
      </c>
      <c r="AL657" t="s">
        <v>206</v>
      </c>
      <c r="AN657" t="s">
        <v>207</v>
      </c>
      <c r="AO657">
        <v>2</v>
      </c>
      <c r="AP657" t="s">
        <v>208</v>
      </c>
      <c r="AQ657" t="s">
        <v>209</v>
      </c>
      <c r="AR657" t="s">
        <v>502</v>
      </c>
      <c r="AW657" t="s">
        <v>212</v>
      </c>
      <c r="AZ657" t="s">
        <v>209</v>
      </c>
      <c r="BI657" t="s">
        <v>212</v>
      </c>
      <c r="BJ657" t="s">
        <v>213</v>
      </c>
      <c r="BK657" t="s">
        <v>214</v>
      </c>
      <c r="BL657" t="s">
        <v>357</v>
      </c>
      <c r="BN657" t="s">
        <v>247</v>
      </c>
      <c r="BO657" t="s">
        <v>209</v>
      </c>
      <c r="BP657" t="s">
        <v>241</v>
      </c>
      <c r="BQ657">
        <v>3</v>
      </c>
      <c r="BS657" t="s">
        <v>220</v>
      </c>
      <c r="BU657" t="s">
        <v>212</v>
      </c>
      <c r="BX657" t="s">
        <v>234</v>
      </c>
      <c r="BY657" t="s">
        <v>234</v>
      </c>
      <c r="BZ657" t="s">
        <v>571</v>
      </c>
      <c r="CA657" t="s">
        <v>287</v>
      </c>
      <c r="CC657" t="s">
        <v>209</v>
      </c>
      <c r="CE657" t="s">
        <v>242</v>
      </c>
      <c r="CJ657" t="s">
        <v>206</v>
      </c>
      <c r="CK657" t="s">
        <v>230</v>
      </c>
      <c r="CL657" t="s">
        <v>231</v>
      </c>
      <c r="CM657" t="s">
        <v>232</v>
      </c>
      <c r="CN657" t="s">
        <v>233</v>
      </c>
      <c r="CP657" t="s">
        <v>212</v>
      </c>
      <c r="CQ657" t="s">
        <v>212</v>
      </c>
      <c r="CR657" t="s">
        <v>212</v>
      </c>
      <c r="CS657" t="s">
        <v>212</v>
      </c>
      <c r="CY657" t="s">
        <v>212</v>
      </c>
      <c r="DB657" t="s">
        <v>234</v>
      </c>
      <c r="DE657" t="s">
        <v>212</v>
      </c>
      <c r="DF657" t="s">
        <v>212</v>
      </c>
      <c r="DG657" t="s">
        <v>235</v>
      </c>
      <c r="DH657" t="s">
        <v>212</v>
      </c>
      <c r="DJ657" t="s">
        <v>236</v>
      </c>
      <c r="DM657" t="s">
        <v>212</v>
      </c>
    </row>
    <row r="658" spans="1:117" x14ac:dyDescent="0.3">
      <c r="A658">
        <v>22529150</v>
      </c>
      <c r="B658">
        <v>9644351</v>
      </c>
      <c r="C658" t="str">
        <f>"141020605624"</f>
        <v>141020605624</v>
      </c>
      <c r="D658" t="s">
        <v>1779</v>
      </c>
      <c r="E658" t="s">
        <v>789</v>
      </c>
      <c r="F658" t="s">
        <v>1780</v>
      </c>
      <c r="G658" s="1">
        <v>41932</v>
      </c>
      <c r="I658" t="s">
        <v>199</v>
      </c>
      <c r="J658" t="s">
        <v>200</v>
      </c>
      <c r="K658" t="s">
        <v>260</v>
      </c>
      <c r="R658" t="str">
        <f>"КАЗАХСТАН, АКМОЛИНСКАЯ, СТЕПНОГОРСК, 13, 76"</f>
        <v>КАЗАХСТАН, АКМОЛИНСКАЯ, СТЕПНОГОРСК, 13, 76</v>
      </c>
      <c r="S658" t="str">
        <f>"ҚАЗАҚСТАН, АҚМОЛА, СТЕПНОГОР, 13, 76"</f>
        <v>ҚАЗАҚСТАН, АҚМОЛА, СТЕПНОГОР, 13, 76</v>
      </c>
      <c r="T658" t="str">
        <f>"13, 76"</f>
        <v>13, 76</v>
      </c>
      <c r="U658" t="str">
        <f>"13, 76"</f>
        <v>13, 76</v>
      </c>
      <c r="AC658" t="str">
        <f>"2022-07-08T00:00:00"</f>
        <v>2022-07-08T00:00:00</v>
      </c>
      <c r="AD658" t="str">
        <f>"58"</f>
        <v>58</v>
      </c>
      <c r="AG658" t="s">
        <v>202</v>
      </c>
      <c r="AI658" t="s">
        <v>269</v>
      </c>
      <c r="AJ658" t="s">
        <v>540</v>
      </c>
      <c r="AK658" t="s">
        <v>205</v>
      </c>
      <c r="AL658" t="s">
        <v>206</v>
      </c>
      <c r="AN658" t="s">
        <v>207</v>
      </c>
      <c r="AO658">
        <v>2</v>
      </c>
      <c r="AP658" t="s">
        <v>208</v>
      </c>
      <c r="AQ658" t="s">
        <v>209</v>
      </c>
      <c r="AR658" t="s">
        <v>502</v>
      </c>
      <c r="AW658" t="s">
        <v>212</v>
      </c>
      <c r="AZ658" t="s">
        <v>209</v>
      </c>
      <c r="BI658" t="s">
        <v>212</v>
      </c>
      <c r="BJ658" t="s">
        <v>213</v>
      </c>
      <c r="BK658" t="s">
        <v>214</v>
      </c>
      <c r="BL658" t="s">
        <v>357</v>
      </c>
      <c r="BN658" t="s">
        <v>281</v>
      </c>
      <c r="BO658" t="s">
        <v>209</v>
      </c>
      <c r="BP658" t="s">
        <v>241</v>
      </c>
      <c r="BQ658">
        <v>5</v>
      </c>
      <c r="BS658" t="s">
        <v>219</v>
      </c>
      <c r="BT658" t="s">
        <v>220</v>
      </c>
      <c r="BU658" t="s">
        <v>206</v>
      </c>
      <c r="BZ658" t="s">
        <v>541</v>
      </c>
      <c r="CA658" t="s">
        <v>287</v>
      </c>
      <c r="CC658" t="s">
        <v>224</v>
      </c>
      <c r="CD658" t="s">
        <v>223</v>
      </c>
      <c r="CE658" t="s">
        <v>242</v>
      </c>
      <c r="CJ658" t="s">
        <v>206</v>
      </c>
      <c r="CK658" t="s">
        <v>230</v>
      </c>
      <c r="CL658" t="s">
        <v>231</v>
      </c>
      <c r="CM658" t="s">
        <v>232</v>
      </c>
      <c r="CN658" t="s">
        <v>233</v>
      </c>
      <c r="CP658" t="s">
        <v>212</v>
      </c>
      <c r="CQ658" t="s">
        <v>212</v>
      </c>
      <c r="CR658" t="s">
        <v>212</v>
      </c>
      <c r="CS658" t="s">
        <v>212</v>
      </c>
      <c r="CY658" t="s">
        <v>212</v>
      </c>
      <c r="DB658" t="s">
        <v>234</v>
      </c>
      <c r="DE658" t="s">
        <v>212</v>
      </c>
      <c r="DF658" t="s">
        <v>212</v>
      </c>
      <c r="DG658" t="s">
        <v>235</v>
      </c>
      <c r="DH658" t="s">
        <v>212</v>
      </c>
      <c r="DJ658" t="s">
        <v>236</v>
      </c>
      <c r="DM658" t="s">
        <v>212</v>
      </c>
    </row>
    <row r="659" spans="1:117" x14ac:dyDescent="0.3">
      <c r="A659">
        <v>22536699</v>
      </c>
      <c r="B659">
        <v>175935</v>
      </c>
      <c r="C659" t="str">
        <f>"110309601812"</f>
        <v>110309601812</v>
      </c>
      <c r="D659" t="s">
        <v>680</v>
      </c>
      <c r="E659" t="s">
        <v>677</v>
      </c>
      <c r="F659" t="s">
        <v>1248</v>
      </c>
      <c r="G659" s="1">
        <v>40611</v>
      </c>
      <c r="I659" t="s">
        <v>199</v>
      </c>
      <c r="J659" t="s">
        <v>200</v>
      </c>
      <c r="K659" t="s">
        <v>260</v>
      </c>
      <c r="R659" t="str">
        <f>"КАЗАХСТАН, С-КАЗАХСТАНСКАЯ, ПЕТРОПАВЛОВСК, 11Б"</f>
        <v>КАЗАХСТАН, С-КАЗАХСТАНСКАЯ, ПЕТРОПАВЛОВСК, 11Б</v>
      </c>
      <c r="S659" t="str">
        <f>"ҚАЗАҚСТАН, СОЛ-ҚАЗАҚСТАН, ПЕТРОПАВЛ, 11Б"</f>
        <v>ҚАЗАҚСТАН, СОЛ-ҚАЗАҚСТАН, ПЕТРОПАВЛ, 11Б</v>
      </c>
      <c r="T659" t="str">
        <f>"11Б"</f>
        <v>11Б</v>
      </c>
      <c r="U659" t="str">
        <f>"11Б"</f>
        <v>11Б</v>
      </c>
      <c r="AC659" t="str">
        <f>"2022-08-15T00:00:00"</f>
        <v>2022-08-15T00:00:00</v>
      </c>
      <c r="AD659" t="str">
        <f>"100"</f>
        <v>100</v>
      </c>
      <c r="AG659" t="s">
        <v>202</v>
      </c>
      <c r="AI659" t="s">
        <v>269</v>
      </c>
      <c r="AJ659" t="s">
        <v>348</v>
      </c>
      <c r="AK659" t="s">
        <v>205</v>
      </c>
      <c r="AL659" t="s">
        <v>206</v>
      </c>
      <c r="AN659" t="s">
        <v>207</v>
      </c>
      <c r="AO659">
        <v>1</v>
      </c>
      <c r="AP659" t="s">
        <v>208</v>
      </c>
      <c r="AQ659" t="s">
        <v>209</v>
      </c>
      <c r="AR659" t="s">
        <v>307</v>
      </c>
      <c r="AW659" t="s">
        <v>206</v>
      </c>
      <c r="AX659" t="s">
        <v>211</v>
      </c>
      <c r="AZ659" t="s">
        <v>209</v>
      </c>
      <c r="BI659" t="s">
        <v>212</v>
      </c>
      <c r="BJ659" t="s">
        <v>213</v>
      </c>
      <c r="BK659" t="s">
        <v>214</v>
      </c>
      <c r="BL659" t="s">
        <v>215</v>
      </c>
      <c r="BN659" t="s">
        <v>247</v>
      </c>
      <c r="BO659" t="s">
        <v>209</v>
      </c>
      <c r="BP659" t="s">
        <v>241</v>
      </c>
      <c r="BQ659">
        <v>3</v>
      </c>
      <c r="BS659" t="s">
        <v>219</v>
      </c>
      <c r="BT659" t="s">
        <v>220</v>
      </c>
      <c r="BU659" t="s">
        <v>206</v>
      </c>
      <c r="CA659" t="s">
        <v>287</v>
      </c>
      <c r="CC659" t="s">
        <v>222</v>
      </c>
      <c r="CD659" t="s">
        <v>223</v>
      </c>
      <c r="CE659" t="s">
        <v>895</v>
      </c>
      <c r="CF659" t="s">
        <v>610</v>
      </c>
      <c r="CG659" t="s">
        <v>1414</v>
      </c>
      <c r="CH659" t="s">
        <v>228</v>
      </c>
      <c r="CI659" t="s">
        <v>1781</v>
      </c>
      <c r="CJ659" t="s">
        <v>206</v>
      </c>
      <c r="CK659" t="s">
        <v>230</v>
      </c>
      <c r="CL659" t="s">
        <v>231</v>
      </c>
      <c r="CM659" t="s">
        <v>232</v>
      </c>
      <c r="CN659" t="s">
        <v>233</v>
      </c>
      <c r="CP659" t="s">
        <v>212</v>
      </c>
      <c r="CQ659" t="s">
        <v>212</v>
      </c>
      <c r="CR659" t="s">
        <v>212</v>
      </c>
      <c r="CS659" t="s">
        <v>212</v>
      </c>
      <c r="CY659" t="s">
        <v>212</v>
      </c>
      <c r="DB659" t="s">
        <v>234</v>
      </c>
      <c r="DE659" t="s">
        <v>212</v>
      </c>
      <c r="DF659" t="s">
        <v>212</v>
      </c>
      <c r="DG659" t="s">
        <v>235</v>
      </c>
      <c r="DH659" t="s">
        <v>212</v>
      </c>
      <c r="DJ659" t="s">
        <v>236</v>
      </c>
      <c r="DM659" t="s">
        <v>212</v>
      </c>
    </row>
    <row r="660" spans="1:117" x14ac:dyDescent="0.3">
      <c r="A660">
        <v>22539531</v>
      </c>
      <c r="B660">
        <v>2824043</v>
      </c>
      <c r="C660" t="str">
        <f>"100917000087"</f>
        <v>100917000087</v>
      </c>
      <c r="D660" t="s">
        <v>715</v>
      </c>
      <c r="E660" t="s">
        <v>1782</v>
      </c>
      <c r="F660" t="s">
        <v>717</v>
      </c>
      <c r="G660" s="1">
        <v>40438</v>
      </c>
      <c r="I660" t="s">
        <v>199</v>
      </c>
      <c r="J660" t="s">
        <v>200</v>
      </c>
      <c r="K660" t="s">
        <v>201</v>
      </c>
      <c r="L660" t="s">
        <v>212</v>
      </c>
      <c r="Q660" t="s">
        <v>206</v>
      </c>
      <c r="R660" t="str">
        <f>"АНДОРРА, КАРАГАНДИНСКАЯ, ТЕМИРТАУ, 31, 11"</f>
        <v>АНДОРРА, КАРАГАНДИНСКАЯ, ТЕМИРТАУ, 31, 11</v>
      </c>
      <c r="S660" t="str">
        <f>"АНДОРРА, ҚАРАҒАНДЫ, ТЕМІРТАУ, 31, 11"</f>
        <v>АНДОРРА, ҚАРАҒАНДЫ, ТЕМІРТАУ, 31, 11</v>
      </c>
      <c r="T660" t="str">
        <f>"31, 11"</f>
        <v>31, 11</v>
      </c>
      <c r="U660" t="str">
        <f>"31, 11"</f>
        <v>31, 11</v>
      </c>
      <c r="AC660" t="str">
        <f>"2022-08-22T00:00:00"</f>
        <v>2022-08-22T00:00:00</v>
      </c>
      <c r="AD660" t="str">
        <f>"110"</f>
        <v>110</v>
      </c>
      <c r="AG660" t="s">
        <v>646</v>
      </c>
      <c r="AI660" t="s">
        <v>274</v>
      </c>
      <c r="AJ660" t="s">
        <v>300</v>
      </c>
      <c r="AK660" t="s">
        <v>253</v>
      </c>
      <c r="AL660" t="s">
        <v>206</v>
      </c>
      <c r="AN660" t="s">
        <v>254</v>
      </c>
      <c r="AO660">
        <v>1</v>
      </c>
      <c r="AP660" t="s">
        <v>208</v>
      </c>
      <c r="AQ660" t="s">
        <v>209</v>
      </c>
      <c r="AR660" t="s">
        <v>210</v>
      </c>
      <c r="AW660" t="s">
        <v>206</v>
      </c>
      <c r="AX660" t="s">
        <v>211</v>
      </c>
      <c r="AZ660" t="s">
        <v>209</v>
      </c>
      <c r="BI660" t="s">
        <v>212</v>
      </c>
      <c r="BJ660" t="s">
        <v>213</v>
      </c>
      <c r="BK660" t="s">
        <v>214</v>
      </c>
      <c r="BL660" t="s">
        <v>215</v>
      </c>
      <c r="BN660" t="s">
        <v>216</v>
      </c>
      <c r="BO660" t="s">
        <v>209</v>
      </c>
      <c r="BP660" t="s">
        <v>241</v>
      </c>
      <c r="BQ660">
        <v>4</v>
      </c>
      <c r="BS660" t="s">
        <v>219</v>
      </c>
      <c r="BT660" t="s">
        <v>220</v>
      </c>
      <c r="BU660" t="s">
        <v>206</v>
      </c>
      <c r="CA660" t="s">
        <v>287</v>
      </c>
      <c r="CC660" t="s">
        <v>282</v>
      </c>
      <c r="CD660" t="s">
        <v>223</v>
      </c>
      <c r="CE660" t="s">
        <v>242</v>
      </c>
      <c r="CJ660" t="s">
        <v>206</v>
      </c>
      <c r="CK660" t="s">
        <v>230</v>
      </c>
      <c r="CL660" t="s">
        <v>231</v>
      </c>
      <c r="CM660" t="s">
        <v>232</v>
      </c>
      <c r="CN660" t="s">
        <v>233</v>
      </c>
      <c r="CP660" t="s">
        <v>212</v>
      </c>
      <c r="CQ660" t="s">
        <v>212</v>
      </c>
      <c r="CR660" t="s">
        <v>212</v>
      </c>
      <c r="CS660" t="s">
        <v>212</v>
      </c>
      <c r="CY660" t="s">
        <v>212</v>
      </c>
      <c r="DB660" t="s">
        <v>234</v>
      </c>
      <c r="DE660" t="s">
        <v>212</v>
      </c>
      <c r="DF660" t="s">
        <v>212</v>
      </c>
      <c r="DG660" t="s">
        <v>235</v>
      </c>
      <c r="DH660" t="s">
        <v>212</v>
      </c>
      <c r="DJ660" t="s">
        <v>236</v>
      </c>
      <c r="DM660" t="s">
        <v>212</v>
      </c>
    </row>
    <row r="661" spans="1:117" x14ac:dyDescent="0.3">
      <c r="A661">
        <v>22543985</v>
      </c>
      <c r="B661">
        <v>174795</v>
      </c>
      <c r="C661" t="str">
        <f>"090926650026"</f>
        <v>090926650026</v>
      </c>
      <c r="D661" t="s">
        <v>405</v>
      </c>
      <c r="E661" t="s">
        <v>1006</v>
      </c>
      <c r="F661" t="s">
        <v>805</v>
      </c>
      <c r="G661" s="1">
        <v>40082</v>
      </c>
      <c r="I661" t="s">
        <v>199</v>
      </c>
      <c r="J661" t="s">
        <v>200</v>
      </c>
      <c r="K661" t="s">
        <v>260</v>
      </c>
      <c r="R661" t="str">
        <f>"АНДОРРА, АКМОЛИНСКАЯ, СТЕПНОГОРСК, 62, 3"</f>
        <v>АНДОРРА, АКМОЛИНСКАЯ, СТЕПНОГОРСК, 62, 3</v>
      </c>
      <c r="S661" t="str">
        <f>"АНДОРРА, АҚМОЛА, СТЕПНОГОР, 62, 3"</f>
        <v>АНДОРРА, АҚМОЛА, СТЕПНОГОР, 62, 3</v>
      </c>
      <c r="T661" t="str">
        <f>"62, 3"</f>
        <v>62, 3</v>
      </c>
      <c r="U661" t="str">
        <f>"62, 3"</f>
        <v>62, 3</v>
      </c>
      <c r="AC661" t="str">
        <f>"2022-08-15T00:00:00"</f>
        <v>2022-08-15T00:00:00</v>
      </c>
      <c r="AD661" t="str">
        <f>"99"</f>
        <v>99</v>
      </c>
      <c r="AG661" t="s">
        <v>202</v>
      </c>
      <c r="AH661" t="str">
        <f>"ckool007@mail.ru"</f>
        <v>ckool007@mail.ru</v>
      </c>
      <c r="AI661" t="s">
        <v>269</v>
      </c>
      <c r="AJ661" t="s">
        <v>286</v>
      </c>
      <c r="AK661" t="s">
        <v>261</v>
      </c>
      <c r="AL661" t="s">
        <v>206</v>
      </c>
      <c r="AN661" t="s">
        <v>207</v>
      </c>
      <c r="AO661">
        <v>1</v>
      </c>
      <c r="AP661" t="s">
        <v>208</v>
      </c>
      <c r="AQ661" t="s">
        <v>209</v>
      </c>
      <c r="AR661" t="s">
        <v>210</v>
      </c>
      <c r="AW661" t="s">
        <v>206</v>
      </c>
      <c r="AX661" t="s">
        <v>211</v>
      </c>
      <c r="AZ661" t="s">
        <v>209</v>
      </c>
      <c r="BI661" t="s">
        <v>212</v>
      </c>
      <c r="BJ661" t="s">
        <v>213</v>
      </c>
      <c r="BK661" t="s">
        <v>214</v>
      </c>
      <c r="BL661" t="s">
        <v>357</v>
      </c>
      <c r="BN661" t="s">
        <v>216</v>
      </c>
      <c r="BO661" t="s">
        <v>209</v>
      </c>
      <c r="BP661" t="s">
        <v>241</v>
      </c>
      <c r="BQ661">
        <v>4</v>
      </c>
      <c r="BS661" t="s">
        <v>219</v>
      </c>
      <c r="BT661" t="s">
        <v>220</v>
      </c>
      <c r="BU661" t="s">
        <v>206</v>
      </c>
      <c r="CA661" t="s">
        <v>287</v>
      </c>
      <c r="CC661" t="s">
        <v>209</v>
      </c>
      <c r="CE661" t="s">
        <v>242</v>
      </c>
      <c r="CJ661" t="s">
        <v>206</v>
      </c>
      <c r="CK661" t="s">
        <v>230</v>
      </c>
      <c r="CL661" t="s">
        <v>231</v>
      </c>
      <c r="CM661" t="s">
        <v>232</v>
      </c>
      <c r="CN661" t="s">
        <v>233</v>
      </c>
      <c r="CP661" t="s">
        <v>212</v>
      </c>
      <c r="CQ661" t="s">
        <v>212</v>
      </c>
      <c r="CR661" t="s">
        <v>212</v>
      </c>
      <c r="CS661" t="s">
        <v>212</v>
      </c>
      <c r="CY661" t="s">
        <v>212</v>
      </c>
      <c r="DB661" t="s">
        <v>234</v>
      </c>
      <c r="DE661" t="s">
        <v>212</v>
      </c>
      <c r="DF661" t="s">
        <v>212</v>
      </c>
      <c r="DG661" t="s">
        <v>235</v>
      </c>
      <c r="DH661" t="s">
        <v>212</v>
      </c>
      <c r="DJ661" t="s">
        <v>236</v>
      </c>
      <c r="DM661" t="s">
        <v>212</v>
      </c>
    </row>
    <row r="662" spans="1:117" x14ac:dyDescent="0.3">
      <c r="A662">
        <v>22636948</v>
      </c>
      <c r="B662">
        <v>185105</v>
      </c>
      <c r="C662" t="str">
        <f>"120217501500"</f>
        <v>120217501500</v>
      </c>
      <c r="D662" t="s">
        <v>1783</v>
      </c>
      <c r="E662" t="s">
        <v>819</v>
      </c>
      <c r="F662" t="s">
        <v>377</v>
      </c>
      <c r="G662" s="1">
        <v>40956</v>
      </c>
      <c r="I662" t="s">
        <v>240</v>
      </c>
      <c r="J662" t="s">
        <v>200</v>
      </c>
      <c r="K662" t="s">
        <v>806</v>
      </c>
      <c r="Q662" t="s">
        <v>212</v>
      </c>
      <c r="R662" t="str">
        <f>"КАЗАХСТАН, АКМОЛИНСКАЯ, СТЕПНОГОРСК, КЕНТI Аксу, 51"</f>
        <v>КАЗАХСТАН, АКМОЛИНСКАЯ, СТЕПНОГОРСК, КЕНТI Аксу, 51</v>
      </c>
      <c r="S662" t="str">
        <f>"ҚАЗАҚСТАН, АҚМОЛА, СТЕПНОГОР, КЕНТI Аксу, 51"</f>
        <v>ҚАЗАҚСТАН, АҚМОЛА, СТЕПНОГОР, КЕНТI Аксу, 51</v>
      </c>
      <c r="T662" t="str">
        <f>"КЕНТI Аксу, 51"</f>
        <v>КЕНТI Аксу, 51</v>
      </c>
      <c r="U662" t="str">
        <f>"КЕНТI Аксу, 51"</f>
        <v>КЕНТI Аксу, 51</v>
      </c>
      <c r="AC662" t="str">
        <f>"2022-08-09T00:00:00"</f>
        <v>2022-08-09T00:00:00</v>
      </c>
      <c r="AD662" t="str">
        <f>"93"</f>
        <v>93</v>
      </c>
      <c r="AG662" t="s">
        <v>202</v>
      </c>
      <c r="AI662" t="s">
        <v>274</v>
      </c>
      <c r="AJ662" t="s">
        <v>348</v>
      </c>
      <c r="AK662" t="s">
        <v>261</v>
      </c>
      <c r="AL662" t="s">
        <v>206</v>
      </c>
      <c r="AN662" t="s">
        <v>207</v>
      </c>
      <c r="AO662">
        <v>1</v>
      </c>
      <c r="AP662" t="s">
        <v>208</v>
      </c>
      <c r="AQ662" t="s">
        <v>209</v>
      </c>
      <c r="AR662" t="s">
        <v>262</v>
      </c>
      <c r="AW662" t="s">
        <v>206</v>
      </c>
      <c r="AX662" t="s">
        <v>211</v>
      </c>
      <c r="AZ662" t="s">
        <v>209</v>
      </c>
      <c r="BI662" t="s">
        <v>212</v>
      </c>
      <c r="BJ662" t="s">
        <v>213</v>
      </c>
      <c r="BK662" t="s">
        <v>214</v>
      </c>
      <c r="BL662" t="s">
        <v>215</v>
      </c>
      <c r="BN662" t="s">
        <v>247</v>
      </c>
      <c r="BO662" t="s">
        <v>209</v>
      </c>
      <c r="BP662" t="s">
        <v>415</v>
      </c>
      <c r="BQ662" t="s">
        <v>416</v>
      </c>
      <c r="BS662" t="s">
        <v>219</v>
      </c>
      <c r="BT662" t="s">
        <v>220</v>
      </c>
      <c r="BU662" t="s">
        <v>206</v>
      </c>
      <c r="BX662" t="s">
        <v>234</v>
      </c>
      <c r="BY662" t="s">
        <v>234</v>
      </c>
      <c r="CA662" t="s">
        <v>287</v>
      </c>
      <c r="CC662" t="s">
        <v>222</v>
      </c>
      <c r="CD662" t="s">
        <v>223</v>
      </c>
      <c r="CE662" t="s">
        <v>242</v>
      </c>
      <c r="CJ662" t="s">
        <v>206</v>
      </c>
      <c r="CK662" t="s">
        <v>230</v>
      </c>
      <c r="CL662" t="s">
        <v>231</v>
      </c>
      <c r="CM662" t="s">
        <v>232</v>
      </c>
      <c r="CN662" t="s">
        <v>233</v>
      </c>
      <c r="CP662" t="s">
        <v>212</v>
      </c>
      <c r="CQ662" t="s">
        <v>212</v>
      </c>
      <c r="CR662" t="s">
        <v>212</v>
      </c>
      <c r="CS662" t="s">
        <v>212</v>
      </c>
      <c r="CY662" t="s">
        <v>212</v>
      </c>
      <c r="DB662" t="s">
        <v>234</v>
      </c>
      <c r="DE662" t="s">
        <v>212</v>
      </c>
      <c r="DF662" t="s">
        <v>212</v>
      </c>
      <c r="DG662" t="s">
        <v>235</v>
      </c>
      <c r="DH662" t="s">
        <v>212</v>
      </c>
      <c r="DJ662" t="s">
        <v>236</v>
      </c>
      <c r="DM662" t="s">
        <v>212</v>
      </c>
    </row>
    <row r="663" spans="1:117" x14ac:dyDescent="0.3">
      <c r="A663">
        <v>22636956</v>
      </c>
      <c r="B663">
        <v>132910</v>
      </c>
      <c r="C663" t="str">
        <f>"081005651939"</f>
        <v>081005651939</v>
      </c>
      <c r="D663" t="s">
        <v>804</v>
      </c>
      <c r="E663" t="s">
        <v>516</v>
      </c>
      <c r="F663" t="s">
        <v>352</v>
      </c>
      <c r="G663" s="1">
        <v>39726</v>
      </c>
      <c r="I663" t="s">
        <v>199</v>
      </c>
      <c r="J663" t="s">
        <v>200</v>
      </c>
      <c r="K663" t="s">
        <v>806</v>
      </c>
      <c r="R663" t="str">
        <f>"АНДОРРА, АКМОЛИНСКАЯ, СТЕПНОГОРСК, 40, 5"</f>
        <v>АНДОРРА, АКМОЛИНСКАЯ, СТЕПНОГОРСК, 40, 5</v>
      </c>
      <c r="S663" t="str">
        <f>"АНДОРРА, АҚМОЛА, СТЕПНОГОР, 40, 5"</f>
        <v>АНДОРРА, АҚМОЛА, СТЕПНОГОР, 40, 5</v>
      </c>
      <c r="T663" t="str">
        <f>"40, 5"</f>
        <v>40, 5</v>
      </c>
      <c r="U663" t="str">
        <f>"40, 5"</f>
        <v>40, 5</v>
      </c>
      <c r="AC663" t="str">
        <f>"2022-08-09T00:00:00"</f>
        <v>2022-08-09T00:00:00</v>
      </c>
      <c r="AD663" t="str">
        <f>"94"</f>
        <v>94</v>
      </c>
      <c r="AG663" t="s">
        <v>202</v>
      </c>
      <c r="AH663" t="str">
        <f>"ckool007@mail.ru"</f>
        <v>ckool007@mail.ru</v>
      </c>
      <c r="AI663" t="s">
        <v>269</v>
      </c>
      <c r="AJ663" t="s">
        <v>204</v>
      </c>
      <c r="AK663" t="s">
        <v>246</v>
      </c>
      <c r="AL663" t="s">
        <v>206</v>
      </c>
      <c r="AN663" t="s">
        <v>207</v>
      </c>
      <c r="AO663">
        <v>1</v>
      </c>
      <c r="AP663" t="s">
        <v>208</v>
      </c>
      <c r="AQ663" t="s">
        <v>209</v>
      </c>
      <c r="AR663" t="s">
        <v>307</v>
      </c>
      <c r="AW663" t="s">
        <v>206</v>
      </c>
      <c r="AX663" t="s">
        <v>211</v>
      </c>
      <c r="AZ663" t="s">
        <v>209</v>
      </c>
      <c r="BI663" t="s">
        <v>212</v>
      </c>
      <c r="BJ663" t="s">
        <v>213</v>
      </c>
      <c r="BK663" t="s">
        <v>214</v>
      </c>
      <c r="BL663" t="s">
        <v>215</v>
      </c>
      <c r="BN663" t="s">
        <v>247</v>
      </c>
      <c r="BO663" t="s">
        <v>209</v>
      </c>
      <c r="BP663" t="s">
        <v>217</v>
      </c>
      <c r="BQ663" t="s">
        <v>270</v>
      </c>
      <c r="BS663" t="s">
        <v>219</v>
      </c>
      <c r="BT663" t="s">
        <v>220</v>
      </c>
      <c r="BU663" t="s">
        <v>206</v>
      </c>
      <c r="BX663" t="s">
        <v>234</v>
      </c>
      <c r="BY663" t="s">
        <v>234</v>
      </c>
      <c r="CA663" t="s">
        <v>287</v>
      </c>
      <c r="CC663" t="s">
        <v>353</v>
      </c>
      <c r="CD663" t="s">
        <v>223</v>
      </c>
      <c r="CE663" t="s">
        <v>242</v>
      </c>
      <c r="CJ663" t="s">
        <v>206</v>
      </c>
      <c r="CK663" t="s">
        <v>230</v>
      </c>
      <c r="CL663" t="s">
        <v>231</v>
      </c>
      <c r="CM663" t="s">
        <v>232</v>
      </c>
      <c r="CN663" t="s">
        <v>233</v>
      </c>
      <c r="CP663" t="s">
        <v>212</v>
      </c>
      <c r="CQ663" t="s">
        <v>212</v>
      </c>
      <c r="CR663" t="s">
        <v>212</v>
      </c>
      <c r="CS663" t="s">
        <v>212</v>
      </c>
      <c r="CY663" t="s">
        <v>212</v>
      </c>
      <c r="DB663" t="s">
        <v>234</v>
      </c>
      <c r="DE663" t="s">
        <v>212</v>
      </c>
      <c r="DF663" t="s">
        <v>212</v>
      </c>
      <c r="DG663" t="s">
        <v>235</v>
      </c>
      <c r="DH663" t="s">
        <v>212</v>
      </c>
      <c r="DJ663" t="s">
        <v>236</v>
      </c>
      <c r="DM663" t="s">
        <v>212</v>
      </c>
    </row>
    <row r="664" spans="1:117" x14ac:dyDescent="0.3">
      <c r="A664">
        <v>22737268</v>
      </c>
      <c r="B664">
        <v>9779170</v>
      </c>
      <c r="C664" t="str">
        <f>"140721605078"</f>
        <v>140721605078</v>
      </c>
      <c r="D664" t="s">
        <v>1784</v>
      </c>
      <c r="E664" t="s">
        <v>359</v>
      </c>
      <c r="F664" t="s">
        <v>1785</v>
      </c>
      <c r="G664" s="1">
        <v>41841</v>
      </c>
      <c r="I664" t="s">
        <v>199</v>
      </c>
      <c r="J664" t="s">
        <v>200</v>
      </c>
      <c r="K664" t="s">
        <v>201</v>
      </c>
      <c r="R664" t="str">
        <f>"КАЗАХСТАН, АКМОЛИНСКАЯ, СТЕПНОГОРСК, Бестобе, 10"</f>
        <v>КАЗАХСТАН, АКМОЛИНСКАЯ, СТЕПНОГОРСК, Бестобе, 10</v>
      </c>
      <c r="S664" t="str">
        <f>"ҚАЗАҚСТАН, АҚМОЛА, СТЕПНОГОР, Бестобе, 10"</f>
        <v>ҚАЗАҚСТАН, АҚМОЛА, СТЕПНОГОР, Бестобе, 10</v>
      </c>
      <c r="T664" t="str">
        <f>"Бестобе, 10"</f>
        <v>Бестобе, 10</v>
      </c>
      <c r="U664" t="str">
        <f>"Бестобе, 10"</f>
        <v>Бестобе, 10</v>
      </c>
      <c r="AC664" t="str">
        <f>"2022-08-24T00:00:00"</f>
        <v>2022-08-24T00:00:00</v>
      </c>
      <c r="AD664" t="str">
        <f>"114"</f>
        <v>114</v>
      </c>
      <c r="AG664" t="s">
        <v>202</v>
      </c>
      <c r="AI664" t="s">
        <v>274</v>
      </c>
      <c r="AJ664" t="s">
        <v>501</v>
      </c>
      <c r="AK664" t="s">
        <v>253</v>
      </c>
      <c r="AL664" t="s">
        <v>206</v>
      </c>
      <c r="AN664" t="s">
        <v>254</v>
      </c>
      <c r="AO664">
        <v>1</v>
      </c>
      <c r="AP664" t="s">
        <v>208</v>
      </c>
      <c r="AQ664" t="s">
        <v>209</v>
      </c>
      <c r="AR664" t="s">
        <v>502</v>
      </c>
      <c r="AW664" t="s">
        <v>212</v>
      </c>
      <c r="AZ664" t="s">
        <v>209</v>
      </c>
      <c r="BI664" t="s">
        <v>212</v>
      </c>
      <c r="BJ664" t="s">
        <v>213</v>
      </c>
      <c r="BK664" t="s">
        <v>214</v>
      </c>
      <c r="BL664" t="s">
        <v>357</v>
      </c>
      <c r="BN664" t="s">
        <v>216</v>
      </c>
      <c r="BO664" t="s">
        <v>209</v>
      </c>
      <c r="BP664" t="s">
        <v>241</v>
      </c>
      <c r="BQ664">
        <v>4</v>
      </c>
      <c r="BS664" t="s">
        <v>219</v>
      </c>
      <c r="BT664" t="s">
        <v>220</v>
      </c>
      <c r="BU664" t="s">
        <v>206</v>
      </c>
      <c r="BZ664" t="s">
        <v>503</v>
      </c>
      <c r="CA664" t="s">
        <v>287</v>
      </c>
      <c r="CC664" t="s">
        <v>222</v>
      </c>
      <c r="CD664" t="s">
        <v>223</v>
      </c>
      <c r="CE664" t="s">
        <v>242</v>
      </c>
      <c r="CJ664" t="s">
        <v>206</v>
      </c>
      <c r="CK664" t="s">
        <v>264</v>
      </c>
      <c r="CL664" t="s">
        <v>231</v>
      </c>
      <c r="CM664" t="s">
        <v>232</v>
      </c>
      <c r="CN664" t="s">
        <v>233</v>
      </c>
      <c r="CP664" t="s">
        <v>212</v>
      </c>
      <c r="CQ664" t="s">
        <v>212</v>
      </c>
      <c r="CR664" t="s">
        <v>212</v>
      </c>
      <c r="CS664" t="s">
        <v>212</v>
      </c>
      <c r="CY664" t="s">
        <v>212</v>
      </c>
      <c r="DB664" t="s">
        <v>234</v>
      </c>
      <c r="DE664" t="s">
        <v>212</v>
      </c>
      <c r="DF664" t="s">
        <v>212</v>
      </c>
      <c r="DG664" t="s">
        <v>235</v>
      </c>
      <c r="DH664" t="s">
        <v>212</v>
      </c>
      <c r="DJ664" t="s">
        <v>236</v>
      </c>
      <c r="DM664" t="s">
        <v>212</v>
      </c>
    </row>
    <row r="665" spans="1:117" x14ac:dyDescent="0.3">
      <c r="A665">
        <v>22737298</v>
      </c>
      <c r="B665">
        <v>9690466</v>
      </c>
      <c r="C665" t="str">
        <f>"120730550022"</f>
        <v>120730550022</v>
      </c>
      <c r="D665" t="s">
        <v>1786</v>
      </c>
      <c r="E665" t="s">
        <v>658</v>
      </c>
      <c r="F665" t="s">
        <v>1787</v>
      </c>
      <c r="G665" s="1">
        <v>41120</v>
      </c>
      <c r="I665" t="s">
        <v>240</v>
      </c>
      <c r="J665" t="s">
        <v>200</v>
      </c>
      <c r="K665" t="s">
        <v>306</v>
      </c>
      <c r="Q665" t="s">
        <v>212</v>
      </c>
      <c r="R665" t="str">
        <f>"-"</f>
        <v>-</v>
      </c>
      <c r="S665" t="str">
        <f>"-"</f>
        <v>-</v>
      </c>
      <c r="T665" t="str">
        <f>"-"</f>
        <v>-</v>
      </c>
      <c r="U665" t="str">
        <f>"-"</f>
        <v>-</v>
      </c>
      <c r="AC665" t="str">
        <f>"2022-07-20T00:00:00"</f>
        <v>2022-07-20T00:00:00</v>
      </c>
      <c r="AD665" t="str">
        <f>"74"</f>
        <v>74</v>
      </c>
      <c r="AE665" t="str">
        <f>"2023-09-01T15:31:18"</f>
        <v>2023-09-01T15:31:18</v>
      </c>
      <c r="AF665" t="str">
        <f>"2024-05-25T15:31:18"</f>
        <v>2024-05-25T15:31:18</v>
      </c>
      <c r="AG665" t="s">
        <v>202</v>
      </c>
      <c r="AI665" t="s">
        <v>274</v>
      </c>
      <c r="AJ665" t="s">
        <v>501</v>
      </c>
      <c r="AK665" t="s">
        <v>261</v>
      </c>
      <c r="AL665" t="s">
        <v>206</v>
      </c>
      <c r="AN665" t="s">
        <v>207</v>
      </c>
      <c r="AO665">
        <v>1</v>
      </c>
      <c r="AP665" t="s">
        <v>208</v>
      </c>
      <c r="AQ665" t="s">
        <v>209</v>
      </c>
      <c r="AR665" t="s">
        <v>502</v>
      </c>
      <c r="AW665" t="s">
        <v>212</v>
      </c>
      <c r="AZ665" t="s">
        <v>209</v>
      </c>
      <c r="BI665" t="s">
        <v>212</v>
      </c>
      <c r="BJ665" t="s">
        <v>213</v>
      </c>
      <c r="BK665" t="s">
        <v>214</v>
      </c>
      <c r="BL665" t="s">
        <v>357</v>
      </c>
      <c r="BN665" t="s">
        <v>247</v>
      </c>
      <c r="BO665" t="s">
        <v>209</v>
      </c>
      <c r="BP665" t="s">
        <v>415</v>
      </c>
      <c r="BQ665" t="s">
        <v>416</v>
      </c>
      <c r="BS665" t="s">
        <v>219</v>
      </c>
      <c r="BT665" t="s">
        <v>220</v>
      </c>
      <c r="BU665" t="s">
        <v>206</v>
      </c>
      <c r="BX665" t="s">
        <v>234</v>
      </c>
      <c r="BY665" t="s">
        <v>234</v>
      </c>
      <c r="BZ665" t="s">
        <v>503</v>
      </c>
      <c r="CA665" t="s">
        <v>287</v>
      </c>
      <c r="CC665" t="s">
        <v>222</v>
      </c>
      <c r="CD665" t="s">
        <v>223</v>
      </c>
      <c r="CE665" t="s">
        <v>242</v>
      </c>
      <c r="CJ665" t="s">
        <v>206</v>
      </c>
      <c r="CK665" t="s">
        <v>230</v>
      </c>
      <c r="CL665" t="s">
        <v>231</v>
      </c>
      <c r="CM665" t="s">
        <v>232</v>
      </c>
      <c r="CN665" t="s">
        <v>233</v>
      </c>
      <c r="CP665" t="s">
        <v>212</v>
      </c>
      <c r="CQ665" t="s">
        <v>212</v>
      </c>
      <c r="CR665" t="s">
        <v>212</v>
      </c>
      <c r="CS665" t="s">
        <v>212</v>
      </c>
      <c r="CY665" t="s">
        <v>212</v>
      </c>
      <c r="DB665" t="s">
        <v>683</v>
      </c>
      <c r="DC665" t="str">
        <f>"№1352  Задержка психического развития. Нарушения речи (дисграфия)"</f>
        <v>№1352  Задержка психического развития. Нарушения речи (дисграфия)</v>
      </c>
      <c r="DD665" t="str">
        <f>"2023-07-17T00:00:00"</f>
        <v>2023-07-17T00:00:00</v>
      </c>
      <c r="DE665" t="s">
        <v>212</v>
      </c>
      <c r="DF665" t="s">
        <v>206</v>
      </c>
      <c r="DG665" t="s">
        <v>235</v>
      </c>
      <c r="DH665" t="s">
        <v>212</v>
      </c>
      <c r="DJ665" t="s">
        <v>236</v>
      </c>
      <c r="DM665" t="s">
        <v>212</v>
      </c>
    </row>
    <row r="666" spans="1:117" x14ac:dyDescent="0.3">
      <c r="A666">
        <v>22747536</v>
      </c>
      <c r="B666">
        <v>850047</v>
      </c>
      <c r="C666" t="str">
        <f>"131130601390"</f>
        <v>131130601390</v>
      </c>
      <c r="D666" t="s">
        <v>1788</v>
      </c>
      <c r="E666" t="s">
        <v>1789</v>
      </c>
      <c r="F666" t="s">
        <v>1790</v>
      </c>
      <c r="G666" s="1">
        <v>41608</v>
      </c>
      <c r="I666" t="s">
        <v>199</v>
      </c>
      <c r="J666" t="s">
        <v>200</v>
      </c>
      <c r="K666" t="s">
        <v>201</v>
      </c>
      <c r="Q666" t="s">
        <v>212</v>
      </c>
      <c r="R666" t="str">
        <f>"КАЗАХСТАН, АКМОЛИНСКАЯ, СТЕПНОГОРСК, Заводской, 27, 24"</f>
        <v>КАЗАХСТАН, АКМОЛИНСКАЯ, СТЕПНОГОРСК, Заводской, 27, 24</v>
      </c>
      <c r="S666" t="str">
        <f>"ҚАЗАҚСТАН, АҚМОЛА, СТЕПНОГОР, Заводской, 27, 24"</f>
        <v>ҚАЗАҚСТАН, АҚМОЛА, СТЕПНОГОР, Заводской, 27, 24</v>
      </c>
      <c r="T666" t="str">
        <f>"Заводской, 27, 24"</f>
        <v>Заводской, 27, 24</v>
      </c>
      <c r="U666" t="str">
        <f>"Заводской, 27, 24"</f>
        <v>Заводской, 27, 24</v>
      </c>
      <c r="AC666" t="str">
        <f>"2022-08-31T00:00:00"</f>
        <v>2022-08-31T00:00:00</v>
      </c>
      <c r="AD666" t="str">
        <f>"112"</f>
        <v>112</v>
      </c>
      <c r="AG666" t="s">
        <v>202</v>
      </c>
      <c r="AI666" t="s">
        <v>274</v>
      </c>
      <c r="AJ666" t="s">
        <v>501</v>
      </c>
      <c r="AK666" t="s">
        <v>205</v>
      </c>
      <c r="AL666" t="s">
        <v>206</v>
      </c>
      <c r="AN666" t="s">
        <v>207</v>
      </c>
      <c r="AO666">
        <v>1</v>
      </c>
      <c r="AP666" t="s">
        <v>208</v>
      </c>
      <c r="AQ666" t="s">
        <v>209</v>
      </c>
      <c r="AR666" t="s">
        <v>502</v>
      </c>
      <c r="AW666" t="s">
        <v>212</v>
      </c>
      <c r="AZ666" t="s">
        <v>209</v>
      </c>
      <c r="BI666" t="s">
        <v>212</v>
      </c>
      <c r="BJ666" t="s">
        <v>213</v>
      </c>
      <c r="BK666" t="s">
        <v>214</v>
      </c>
      <c r="BL666" t="s">
        <v>357</v>
      </c>
      <c r="BN666" t="s">
        <v>216</v>
      </c>
      <c r="BO666" t="s">
        <v>209</v>
      </c>
      <c r="BP666" t="s">
        <v>241</v>
      </c>
      <c r="BQ666">
        <v>4</v>
      </c>
      <c r="BS666" t="s">
        <v>219</v>
      </c>
      <c r="BT666" t="s">
        <v>220</v>
      </c>
      <c r="BU666" t="s">
        <v>206</v>
      </c>
      <c r="BZ666" t="s">
        <v>503</v>
      </c>
      <c r="CA666" t="s">
        <v>287</v>
      </c>
      <c r="CC666" t="s">
        <v>222</v>
      </c>
      <c r="CD666" t="s">
        <v>223</v>
      </c>
      <c r="CE666" t="s">
        <v>342</v>
      </c>
      <c r="CF666" t="s">
        <v>226</v>
      </c>
      <c r="CG666" t="s">
        <v>227</v>
      </c>
      <c r="CH666" t="s">
        <v>627</v>
      </c>
      <c r="CI666" t="s">
        <v>1791</v>
      </c>
      <c r="CJ666" t="s">
        <v>206</v>
      </c>
      <c r="CK666" t="s">
        <v>230</v>
      </c>
      <c r="CL666" t="s">
        <v>231</v>
      </c>
      <c r="CM666" t="s">
        <v>232</v>
      </c>
      <c r="CN666" t="s">
        <v>233</v>
      </c>
      <c r="CP666" t="s">
        <v>212</v>
      </c>
      <c r="CQ666" t="s">
        <v>212</v>
      </c>
      <c r="CR666" t="s">
        <v>212</v>
      </c>
      <c r="CS666" t="s">
        <v>212</v>
      </c>
      <c r="CY666" t="s">
        <v>212</v>
      </c>
      <c r="DB666" t="s">
        <v>234</v>
      </c>
      <c r="DE666" t="s">
        <v>212</v>
      </c>
      <c r="DF666" t="s">
        <v>212</v>
      </c>
      <c r="DG666" t="s">
        <v>235</v>
      </c>
      <c r="DH666" t="s">
        <v>212</v>
      </c>
      <c r="DJ666" t="s">
        <v>236</v>
      </c>
      <c r="DM666" t="s">
        <v>206</v>
      </c>
    </row>
    <row r="667" spans="1:117" x14ac:dyDescent="0.3">
      <c r="A667">
        <v>22762360</v>
      </c>
      <c r="B667">
        <v>918615</v>
      </c>
      <c r="C667" t="str">
        <f>"150210601871"</f>
        <v>150210601871</v>
      </c>
      <c r="D667" t="s">
        <v>1581</v>
      </c>
      <c r="E667" t="s">
        <v>781</v>
      </c>
      <c r="F667" t="s">
        <v>649</v>
      </c>
      <c r="G667" s="1">
        <v>42045</v>
      </c>
      <c r="I667" t="s">
        <v>199</v>
      </c>
      <c r="J667" t="s">
        <v>200</v>
      </c>
      <c r="K667" t="s">
        <v>201</v>
      </c>
      <c r="L667" t="s">
        <v>212</v>
      </c>
      <c r="Q667" t="s">
        <v>212</v>
      </c>
      <c r="R667" t="str">
        <f>"КАЗАХСТАН, НУР-СУЛТАН, АЛМАТЫ РАЙОН, 53, 140"</f>
        <v>КАЗАХСТАН, НУР-СУЛТАН, АЛМАТЫ РАЙОН, 53, 140</v>
      </c>
      <c r="S667" t="str">
        <f>"ҚАЗАҚСТАН, НҰР-СҰЛТАН, АЛМАТЫ АУДАНЫ, 53, 140"</f>
        <v>ҚАЗАҚСТАН, НҰР-СҰЛТАН, АЛМАТЫ АУДАНЫ, 53, 140</v>
      </c>
      <c r="T667" t="str">
        <f>"53, 140"</f>
        <v>53, 140</v>
      </c>
      <c r="U667" t="str">
        <f>"53, 140"</f>
        <v>53, 140</v>
      </c>
      <c r="AC667" t="str">
        <f>"2022-08-16T00:00:00"</f>
        <v>2022-08-16T00:00:00</v>
      </c>
      <c r="AD667" t="str">
        <f>"103"</f>
        <v>103</v>
      </c>
      <c r="AG667" t="s">
        <v>202</v>
      </c>
      <c r="AI667" t="s">
        <v>299</v>
      </c>
      <c r="AJ667" t="s">
        <v>540</v>
      </c>
      <c r="AK667" t="s">
        <v>253</v>
      </c>
      <c r="AL667" t="s">
        <v>206</v>
      </c>
      <c r="AN667" t="s">
        <v>254</v>
      </c>
      <c r="AO667">
        <v>2</v>
      </c>
      <c r="AP667" t="s">
        <v>208</v>
      </c>
      <c r="AQ667" t="s">
        <v>209</v>
      </c>
      <c r="AR667" t="s">
        <v>502</v>
      </c>
      <c r="AW667" t="s">
        <v>212</v>
      </c>
      <c r="AZ667" t="s">
        <v>209</v>
      </c>
      <c r="BI667" t="s">
        <v>212</v>
      </c>
      <c r="BJ667" t="s">
        <v>213</v>
      </c>
      <c r="BK667" t="s">
        <v>214</v>
      </c>
      <c r="BL667" t="s">
        <v>357</v>
      </c>
      <c r="BN667" t="s">
        <v>216</v>
      </c>
      <c r="BO667" t="s">
        <v>209</v>
      </c>
      <c r="BP667" t="s">
        <v>241</v>
      </c>
      <c r="BQ667">
        <v>4</v>
      </c>
      <c r="BS667" t="s">
        <v>219</v>
      </c>
      <c r="BT667" t="s">
        <v>220</v>
      </c>
      <c r="BU667" t="s">
        <v>206</v>
      </c>
      <c r="BZ667" t="s">
        <v>541</v>
      </c>
      <c r="CA667" t="s">
        <v>287</v>
      </c>
      <c r="CC667" t="s">
        <v>222</v>
      </c>
      <c r="CD667" t="s">
        <v>223</v>
      </c>
      <c r="CE667" t="s">
        <v>242</v>
      </c>
      <c r="CJ667" t="s">
        <v>206</v>
      </c>
      <c r="CK667" t="s">
        <v>230</v>
      </c>
      <c r="CL667" t="s">
        <v>231</v>
      </c>
      <c r="CM667" t="s">
        <v>232</v>
      </c>
      <c r="CN667" t="s">
        <v>233</v>
      </c>
      <c r="CP667" t="s">
        <v>212</v>
      </c>
      <c r="CQ667" t="s">
        <v>212</v>
      </c>
      <c r="CR667" t="s">
        <v>212</v>
      </c>
      <c r="CS667" t="s">
        <v>212</v>
      </c>
      <c r="CY667" t="s">
        <v>212</v>
      </c>
      <c r="DB667" t="s">
        <v>234</v>
      </c>
      <c r="DE667" t="s">
        <v>212</v>
      </c>
      <c r="DF667" t="s">
        <v>212</v>
      </c>
      <c r="DG667" t="s">
        <v>235</v>
      </c>
      <c r="DH667" t="s">
        <v>212</v>
      </c>
      <c r="DJ667" t="s">
        <v>236</v>
      </c>
      <c r="DM667" t="s">
        <v>206</v>
      </c>
    </row>
    <row r="668" spans="1:117" x14ac:dyDescent="0.3">
      <c r="A668">
        <v>22809144</v>
      </c>
      <c r="B668">
        <v>322726</v>
      </c>
      <c r="C668" t="str">
        <f>"130920601382"</f>
        <v>130920601382</v>
      </c>
      <c r="D668" t="s">
        <v>751</v>
      </c>
      <c r="E668" t="s">
        <v>781</v>
      </c>
      <c r="F668" t="s">
        <v>753</v>
      </c>
      <c r="G668" s="1">
        <v>41537</v>
      </c>
      <c r="I668" t="s">
        <v>199</v>
      </c>
      <c r="J668" t="s">
        <v>200</v>
      </c>
      <c r="K668" t="s">
        <v>201</v>
      </c>
      <c r="Q668" t="s">
        <v>212</v>
      </c>
      <c r="R668" t="str">
        <f>"КАЗАХСТАН, АКМОЛИНСКАЯ, СТЕПНОГОРСК, 38, 12"</f>
        <v>КАЗАХСТАН, АКМОЛИНСКАЯ, СТЕПНОГОРСК, 38, 12</v>
      </c>
      <c r="S668" t="str">
        <f>"ҚАЗАҚСТАН, АҚМОЛА, СТЕПНОГОР, 38, 12"</f>
        <v>ҚАЗАҚСТАН, АҚМОЛА, СТЕПНОГОР, 38, 12</v>
      </c>
      <c r="T668" t="str">
        <f>"38, 12"</f>
        <v>38, 12</v>
      </c>
      <c r="U668" t="str">
        <f>"38, 12"</f>
        <v>38, 12</v>
      </c>
      <c r="AC668" t="str">
        <f>"2022-08-25T00:00:00"</f>
        <v>2022-08-25T00:00:00</v>
      </c>
      <c r="AD668" t="str">
        <f>"118"</f>
        <v>118</v>
      </c>
      <c r="AG668" t="s">
        <v>333</v>
      </c>
      <c r="AI668" t="s">
        <v>274</v>
      </c>
      <c r="AJ668" t="s">
        <v>419</v>
      </c>
      <c r="AK668" t="s">
        <v>205</v>
      </c>
      <c r="AL668" t="s">
        <v>206</v>
      </c>
      <c r="AN668" t="s">
        <v>207</v>
      </c>
      <c r="AO668">
        <v>1</v>
      </c>
      <c r="AP668" t="s">
        <v>208</v>
      </c>
      <c r="AQ668" t="s">
        <v>209</v>
      </c>
      <c r="AR668" t="s">
        <v>210</v>
      </c>
      <c r="AW668" t="s">
        <v>206</v>
      </c>
      <c r="AX668" t="s">
        <v>211</v>
      </c>
      <c r="AZ668" t="s">
        <v>209</v>
      </c>
      <c r="BI668" t="s">
        <v>212</v>
      </c>
      <c r="BJ668" t="s">
        <v>213</v>
      </c>
      <c r="BK668" t="s">
        <v>214</v>
      </c>
      <c r="BL668" t="s">
        <v>215</v>
      </c>
      <c r="BN668" t="s">
        <v>216</v>
      </c>
      <c r="BO668" t="s">
        <v>209</v>
      </c>
      <c r="BP668" t="s">
        <v>241</v>
      </c>
      <c r="BQ668">
        <v>4</v>
      </c>
      <c r="BS668" t="s">
        <v>219</v>
      </c>
      <c r="BT668" t="s">
        <v>220</v>
      </c>
      <c r="BU668" t="s">
        <v>206</v>
      </c>
      <c r="CA668" t="s">
        <v>287</v>
      </c>
      <c r="CC668" t="s">
        <v>222</v>
      </c>
      <c r="CD668" t="s">
        <v>223</v>
      </c>
      <c r="CE668" t="s">
        <v>242</v>
      </c>
      <c r="CJ668" t="s">
        <v>206</v>
      </c>
      <c r="CK668" t="s">
        <v>230</v>
      </c>
      <c r="CL668" t="s">
        <v>231</v>
      </c>
      <c r="CM668" t="s">
        <v>232</v>
      </c>
      <c r="CN668" t="s">
        <v>233</v>
      </c>
      <c r="CP668" t="s">
        <v>212</v>
      </c>
      <c r="CQ668" t="s">
        <v>212</v>
      </c>
      <c r="CR668" t="s">
        <v>212</v>
      </c>
      <c r="CS668" t="s">
        <v>212</v>
      </c>
      <c r="CY668" t="s">
        <v>212</v>
      </c>
      <c r="DB668" t="s">
        <v>234</v>
      </c>
      <c r="DE668" t="s">
        <v>212</v>
      </c>
      <c r="DF668" t="s">
        <v>212</v>
      </c>
      <c r="DG668" t="s">
        <v>235</v>
      </c>
      <c r="DH668" t="s">
        <v>212</v>
      </c>
      <c r="DJ668" t="s">
        <v>236</v>
      </c>
      <c r="DM668" t="s">
        <v>206</v>
      </c>
    </row>
    <row r="669" spans="1:117" x14ac:dyDescent="0.3">
      <c r="A669">
        <v>22825676</v>
      </c>
      <c r="B669">
        <v>9107589</v>
      </c>
      <c r="C669" t="str">
        <f>"100317551369"</f>
        <v>100317551369</v>
      </c>
      <c r="D669" t="s">
        <v>1771</v>
      </c>
      <c r="E669" t="s">
        <v>1110</v>
      </c>
      <c r="F669" t="s">
        <v>1792</v>
      </c>
      <c r="G669" s="1">
        <v>40254</v>
      </c>
      <c r="I669" t="s">
        <v>240</v>
      </c>
      <c r="J669" t="s">
        <v>200</v>
      </c>
      <c r="K669" t="s">
        <v>260</v>
      </c>
      <c r="Q669" t="s">
        <v>212</v>
      </c>
      <c r="R669" t="str">
        <f>"КАЗАХСТАН, АКМОЛИНСКАЯ, СТЕПНОГОРСК, КЕНТI Аксу, 28"</f>
        <v>КАЗАХСТАН, АКМОЛИНСКАЯ, СТЕПНОГОРСК, КЕНТI Аксу, 28</v>
      </c>
      <c r="S669" t="str">
        <f>"ҚАЗАҚСТАН, АҚМОЛА, СТЕПНОГОР, КЕНТI Аксу, 28"</f>
        <v>ҚАЗАҚСТАН, АҚМОЛА, СТЕПНОГОР, КЕНТI Аксу, 28</v>
      </c>
      <c r="T669" t="str">
        <f>"КЕНТI Аксу, 28"</f>
        <v>КЕНТI Аксу, 28</v>
      </c>
      <c r="U669" t="str">
        <f>"КЕНТI Аксу, 28"</f>
        <v>КЕНТI Аксу, 28</v>
      </c>
      <c r="AC669" t="str">
        <f>"2022-08-31T00:00:00"</f>
        <v>2022-08-31T00:00:00</v>
      </c>
      <c r="AD669" t="str">
        <f>"124"</f>
        <v>124</v>
      </c>
      <c r="AG669" t="s">
        <v>202</v>
      </c>
      <c r="AI669" t="s">
        <v>274</v>
      </c>
      <c r="AJ669" t="s">
        <v>300</v>
      </c>
      <c r="AK669" t="s">
        <v>205</v>
      </c>
      <c r="AL669" t="s">
        <v>206</v>
      </c>
      <c r="AN669" t="s">
        <v>207</v>
      </c>
      <c r="AO669">
        <v>1</v>
      </c>
      <c r="AP669" t="s">
        <v>208</v>
      </c>
      <c r="AQ669" t="s">
        <v>209</v>
      </c>
      <c r="AR669" t="s">
        <v>210</v>
      </c>
      <c r="AW669" t="s">
        <v>206</v>
      </c>
      <c r="AX669" t="s">
        <v>211</v>
      </c>
      <c r="AZ669" t="s">
        <v>209</v>
      </c>
      <c r="BI669" t="s">
        <v>212</v>
      </c>
      <c r="BJ669" t="s">
        <v>213</v>
      </c>
      <c r="BK669" t="s">
        <v>214</v>
      </c>
      <c r="BL669" t="s">
        <v>215</v>
      </c>
      <c r="BN669" t="s">
        <v>216</v>
      </c>
      <c r="BO669" t="s">
        <v>209</v>
      </c>
      <c r="BP669" t="s">
        <v>241</v>
      </c>
      <c r="BQ669">
        <v>4</v>
      </c>
      <c r="BS669" t="s">
        <v>219</v>
      </c>
      <c r="BT669" t="s">
        <v>220</v>
      </c>
      <c r="BU669" t="s">
        <v>206</v>
      </c>
      <c r="CA669" t="s">
        <v>287</v>
      </c>
      <c r="CC669" t="s">
        <v>222</v>
      </c>
      <c r="CD669" t="s">
        <v>223</v>
      </c>
      <c r="CE669" t="s">
        <v>225</v>
      </c>
      <c r="CF669" t="s">
        <v>226</v>
      </c>
      <c r="CG669" t="s">
        <v>392</v>
      </c>
      <c r="CH669" t="s">
        <v>627</v>
      </c>
      <c r="CI669" t="s">
        <v>1793</v>
      </c>
      <c r="CJ669" t="s">
        <v>206</v>
      </c>
      <c r="CK669" t="s">
        <v>230</v>
      </c>
      <c r="CL669" t="s">
        <v>231</v>
      </c>
      <c r="CM669" t="s">
        <v>232</v>
      </c>
      <c r="CN669" t="s">
        <v>233</v>
      </c>
      <c r="CP669" t="s">
        <v>212</v>
      </c>
      <c r="CQ669" t="s">
        <v>212</v>
      </c>
      <c r="CR669" t="s">
        <v>212</v>
      </c>
      <c r="CS669" t="s">
        <v>212</v>
      </c>
      <c r="CY669" t="s">
        <v>212</v>
      </c>
      <c r="DB669" t="s">
        <v>234</v>
      </c>
      <c r="DE669" t="s">
        <v>212</v>
      </c>
      <c r="DF669" t="s">
        <v>212</v>
      </c>
      <c r="DG669" t="s">
        <v>235</v>
      </c>
      <c r="DH669" t="s">
        <v>212</v>
      </c>
      <c r="DJ669" t="s">
        <v>236</v>
      </c>
      <c r="DM669" t="s">
        <v>212</v>
      </c>
    </row>
    <row r="670" spans="1:117" x14ac:dyDescent="0.3">
      <c r="A670">
        <v>22826691</v>
      </c>
      <c r="B670">
        <v>841477</v>
      </c>
      <c r="C670" t="str">
        <f>"141109502746"</f>
        <v>141109502746</v>
      </c>
      <c r="D670" t="s">
        <v>1794</v>
      </c>
      <c r="E670" t="s">
        <v>1795</v>
      </c>
      <c r="F670" t="s">
        <v>1796</v>
      </c>
      <c r="G670" s="1">
        <v>41952</v>
      </c>
      <c r="I670" t="s">
        <v>240</v>
      </c>
      <c r="J670" t="s">
        <v>200</v>
      </c>
      <c r="K670" t="s">
        <v>1797</v>
      </c>
      <c r="L670" t="s">
        <v>212</v>
      </c>
      <c r="Q670" t="s">
        <v>212</v>
      </c>
      <c r="R670" t="str">
        <f>"КАЗАХСТАН, АКМОЛИНСКАЯ, СТЕПНОГОРСК, 85, 84"</f>
        <v>КАЗАХСТАН, АКМОЛИНСКАЯ, СТЕПНОГОРСК, 85, 84</v>
      </c>
      <c r="S670" t="str">
        <f>"ҚАЗАҚСТАН, АҚМОЛА, СТЕПНОГОР, 85, 84"</f>
        <v>ҚАЗАҚСТАН, АҚМОЛА, СТЕПНОГОР, 85, 84</v>
      </c>
      <c r="T670" t="str">
        <f>"85, 84"</f>
        <v>85, 84</v>
      </c>
      <c r="U670" t="str">
        <f>"85, 84"</f>
        <v>85, 84</v>
      </c>
      <c r="AC670" t="str">
        <f t="shared" ref="AC670:AC709" si="29">"2022-08-25T00:00:00"</f>
        <v>2022-08-25T00:00:00</v>
      </c>
      <c r="AD670" t="str">
        <f t="shared" ref="AD670:AD677" si="30">"120"</f>
        <v>120</v>
      </c>
      <c r="AE670" t="str">
        <f>"2023-09-01T22:59:18"</f>
        <v>2023-09-01T22:59:18</v>
      </c>
      <c r="AF670" t="str">
        <f>"2024-05-25T22:59:18"</f>
        <v>2024-05-25T22:59:18</v>
      </c>
      <c r="AG670" t="s">
        <v>202</v>
      </c>
      <c r="AI670" t="s">
        <v>299</v>
      </c>
      <c r="AJ670" t="s">
        <v>570</v>
      </c>
      <c r="AK670" t="s">
        <v>205</v>
      </c>
      <c r="AL670" t="s">
        <v>206</v>
      </c>
      <c r="AN670" t="s">
        <v>207</v>
      </c>
      <c r="AO670">
        <v>2</v>
      </c>
      <c r="AP670" t="s">
        <v>208</v>
      </c>
      <c r="AQ670" t="s">
        <v>209</v>
      </c>
      <c r="AR670" t="s">
        <v>502</v>
      </c>
      <c r="AW670" t="s">
        <v>212</v>
      </c>
      <c r="AZ670" t="s">
        <v>209</v>
      </c>
      <c r="BI670" t="s">
        <v>212</v>
      </c>
      <c r="BJ670" t="s">
        <v>213</v>
      </c>
      <c r="BK670" t="s">
        <v>214</v>
      </c>
      <c r="BL670" t="s">
        <v>357</v>
      </c>
      <c r="BN670" t="s">
        <v>281</v>
      </c>
      <c r="BO670" t="s">
        <v>209</v>
      </c>
      <c r="BP670" t="s">
        <v>241</v>
      </c>
      <c r="BQ670">
        <v>5</v>
      </c>
      <c r="BS670" t="s">
        <v>220</v>
      </c>
      <c r="BU670" t="s">
        <v>212</v>
      </c>
      <c r="BX670" t="s">
        <v>234</v>
      </c>
      <c r="BY670" t="s">
        <v>234</v>
      </c>
      <c r="BZ670" t="s">
        <v>623</v>
      </c>
      <c r="CA670" t="s">
        <v>287</v>
      </c>
      <c r="CC670" t="s">
        <v>222</v>
      </c>
      <c r="CD670" t="s">
        <v>223</v>
      </c>
      <c r="CE670" t="s">
        <v>242</v>
      </c>
      <c r="CJ670" t="s">
        <v>206</v>
      </c>
      <c r="CK670" t="s">
        <v>230</v>
      </c>
      <c r="CL670" t="s">
        <v>231</v>
      </c>
      <c r="CM670" t="s">
        <v>232</v>
      </c>
      <c r="CN670" t="s">
        <v>233</v>
      </c>
      <c r="CP670" t="s">
        <v>212</v>
      </c>
      <c r="CQ670" t="s">
        <v>212</v>
      </c>
      <c r="CR670" t="s">
        <v>212</v>
      </c>
      <c r="CS670" t="s">
        <v>212</v>
      </c>
      <c r="CY670" t="s">
        <v>212</v>
      </c>
      <c r="DB670" t="s">
        <v>234</v>
      </c>
      <c r="DE670" t="s">
        <v>212</v>
      </c>
      <c r="DF670" t="s">
        <v>212</v>
      </c>
      <c r="DG670" t="s">
        <v>235</v>
      </c>
      <c r="DH670" t="s">
        <v>212</v>
      </c>
      <c r="DJ670" t="s">
        <v>236</v>
      </c>
      <c r="DM670" t="s">
        <v>212</v>
      </c>
    </row>
    <row r="671" spans="1:117" x14ac:dyDescent="0.3">
      <c r="A671">
        <v>22826813</v>
      </c>
      <c r="B671">
        <v>826989</v>
      </c>
      <c r="C671" t="str">
        <f>"160315500826"</f>
        <v>160315500826</v>
      </c>
      <c r="D671" t="s">
        <v>686</v>
      </c>
      <c r="E671" t="s">
        <v>1798</v>
      </c>
      <c r="F671" t="s">
        <v>723</v>
      </c>
      <c r="G671" s="1">
        <v>42444</v>
      </c>
      <c r="I671" t="s">
        <v>240</v>
      </c>
      <c r="J671" t="s">
        <v>200</v>
      </c>
      <c r="K671" t="s">
        <v>201</v>
      </c>
      <c r="R671" t="str">
        <f>"КАЗАХСТАН, АКМОЛИНСКАЯ, СТЕПНОГОРСК, 23, 22"</f>
        <v>КАЗАХСТАН, АКМОЛИНСКАЯ, СТЕПНОГОРСК, 23, 22</v>
      </c>
      <c r="S671" t="str">
        <f>"ҚАЗАҚСТАН, АҚМОЛА, СТЕПНОГОР, 23, 22"</f>
        <v>ҚАЗАҚСТАН, АҚМОЛА, СТЕПНОГОР, 23, 22</v>
      </c>
      <c r="T671" t="str">
        <f>"23, 22"</f>
        <v>23, 22</v>
      </c>
      <c r="U671" t="str">
        <f>"23, 22"</f>
        <v>23, 22</v>
      </c>
      <c r="AC671" t="str">
        <f t="shared" si="29"/>
        <v>2022-08-25T00:00:00</v>
      </c>
      <c r="AD671" t="str">
        <f t="shared" si="30"/>
        <v>120</v>
      </c>
      <c r="AE671" t="str">
        <f>"2023-09-01T17:51:00"</f>
        <v>2023-09-01T17:51:00</v>
      </c>
      <c r="AF671" t="str">
        <f>"2024-05-25T17:51:00"</f>
        <v>2024-05-25T17:51:00</v>
      </c>
      <c r="AG671" t="s">
        <v>202</v>
      </c>
      <c r="AI671" t="s">
        <v>299</v>
      </c>
      <c r="AJ671" t="s">
        <v>570</v>
      </c>
      <c r="AK671" t="s">
        <v>205</v>
      </c>
      <c r="AL671" t="s">
        <v>206</v>
      </c>
      <c r="AN671" t="s">
        <v>207</v>
      </c>
      <c r="AO671">
        <v>2</v>
      </c>
      <c r="AP671" t="s">
        <v>208</v>
      </c>
      <c r="AQ671" t="s">
        <v>209</v>
      </c>
      <c r="AR671" t="s">
        <v>502</v>
      </c>
      <c r="AW671" t="s">
        <v>212</v>
      </c>
      <c r="AZ671" t="s">
        <v>209</v>
      </c>
      <c r="BI671" t="s">
        <v>212</v>
      </c>
      <c r="BJ671" t="s">
        <v>213</v>
      </c>
      <c r="BK671" t="s">
        <v>214</v>
      </c>
      <c r="BL671" t="s">
        <v>357</v>
      </c>
      <c r="BN671" t="s">
        <v>216</v>
      </c>
      <c r="BO671" t="s">
        <v>209</v>
      </c>
      <c r="BP671" t="s">
        <v>241</v>
      </c>
      <c r="BQ671">
        <v>4</v>
      </c>
      <c r="BS671" t="s">
        <v>220</v>
      </c>
      <c r="BU671" t="s">
        <v>212</v>
      </c>
      <c r="BZ671" t="s">
        <v>623</v>
      </c>
      <c r="CA671" t="s">
        <v>287</v>
      </c>
      <c r="CC671" t="s">
        <v>338</v>
      </c>
      <c r="CD671" t="s">
        <v>349</v>
      </c>
      <c r="CE671" t="s">
        <v>242</v>
      </c>
      <c r="CJ671" t="s">
        <v>206</v>
      </c>
      <c r="CK671" t="s">
        <v>230</v>
      </c>
      <c r="CL671" t="s">
        <v>231</v>
      </c>
      <c r="CM671" t="s">
        <v>232</v>
      </c>
      <c r="CN671" t="s">
        <v>233</v>
      </c>
      <c r="CP671" t="s">
        <v>212</v>
      </c>
      <c r="CQ671" t="s">
        <v>212</v>
      </c>
      <c r="CR671" t="s">
        <v>212</v>
      </c>
      <c r="CS671" t="s">
        <v>212</v>
      </c>
      <c r="CY671" t="s">
        <v>212</v>
      </c>
      <c r="DB671" t="s">
        <v>234</v>
      </c>
      <c r="DE671" t="s">
        <v>212</v>
      </c>
      <c r="DF671" t="s">
        <v>212</v>
      </c>
      <c r="DG671" t="s">
        <v>235</v>
      </c>
      <c r="DH671" t="s">
        <v>212</v>
      </c>
      <c r="DJ671" t="s">
        <v>236</v>
      </c>
      <c r="DM671" t="s">
        <v>212</v>
      </c>
    </row>
    <row r="672" spans="1:117" x14ac:dyDescent="0.3">
      <c r="A672">
        <v>22826945</v>
      </c>
      <c r="B672">
        <v>8863127</v>
      </c>
      <c r="C672" t="str">
        <f>"160408501744"</f>
        <v>160408501744</v>
      </c>
      <c r="D672" t="s">
        <v>442</v>
      </c>
      <c r="E672" t="s">
        <v>1799</v>
      </c>
      <c r="F672" t="s">
        <v>1800</v>
      </c>
      <c r="G672" s="1">
        <v>42468</v>
      </c>
      <c r="I672" t="s">
        <v>240</v>
      </c>
      <c r="J672" t="s">
        <v>200</v>
      </c>
      <c r="K672" t="s">
        <v>201</v>
      </c>
      <c r="Q672" t="s">
        <v>212</v>
      </c>
      <c r="R672" t="str">
        <f>"КАЗАХСТАН, АКМОЛИНСКАЯ, СТЕПНОГОРСК, 32, 12"</f>
        <v>КАЗАХСТАН, АКМОЛИНСКАЯ, СТЕПНОГОРСК, 32, 12</v>
      </c>
      <c r="S672" t="str">
        <f>"ҚАЗАҚСТАН, АҚМОЛА, СТЕПНОГОР, 32, 12"</f>
        <v>ҚАЗАҚСТАН, АҚМОЛА, СТЕПНОГОР, 32, 12</v>
      </c>
      <c r="T672" t="str">
        <f>"32, 12"</f>
        <v>32, 12</v>
      </c>
      <c r="U672" t="str">
        <f>"32, 12"</f>
        <v>32, 12</v>
      </c>
      <c r="AC672" t="str">
        <f t="shared" si="29"/>
        <v>2022-08-25T00:00:00</v>
      </c>
      <c r="AD672" t="str">
        <f t="shared" si="30"/>
        <v>120</v>
      </c>
      <c r="AE672" t="str">
        <f>"2023-09-01T17:49:25"</f>
        <v>2023-09-01T17:49:25</v>
      </c>
      <c r="AF672" t="str">
        <f>"2024-05-25T17:49:25"</f>
        <v>2024-05-25T17:49:25</v>
      </c>
      <c r="AG672" t="s">
        <v>202</v>
      </c>
      <c r="AI672" t="s">
        <v>299</v>
      </c>
      <c r="AJ672" t="s">
        <v>570</v>
      </c>
      <c r="AK672" t="s">
        <v>205</v>
      </c>
      <c r="AL672" t="s">
        <v>206</v>
      </c>
      <c r="AN672" t="s">
        <v>207</v>
      </c>
      <c r="AO672">
        <v>2</v>
      </c>
      <c r="AP672" t="s">
        <v>208</v>
      </c>
      <c r="AQ672" t="s">
        <v>209</v>
      </c>
      <c r="AR672" t="s">
        <v>502</v>
      </c>
      <c r="AW672" t="s">
        <v>212</v>
      </c>
      <c r="AZ672" t="s">
        <v>209</v>
      </c>
      <c r="BI672" t="s">
        <v>212</v>
      </c>
      <c r="BJ672" t="s">
        <v>213</v>
      </c>
      <c r="BK672" t="s">
        <v>214</v>
      </c>
      <c r="BL672" t="s">
        <v>357</v>
      </c>
      <c r="BN672" t="s">
        <v>216</v>
      </c>
      <c r="BO672" t="s">
        <v>209</v>
      </c>
      <c r="BP672" t="s">
        <v>241</v>
      </c>
      <c r="BQ672">
        <v>4</v>
      </c>
      <c r="BS672" t="s">
        <v>220</v>
      </c>
      <c r="BU672" t="s">
        <v>212</v>
      </c>
      <c r="BZ672" t="s">
        <v>623</v>
      </c>
      <c r="CA672" t="s">
        <v>287</v>
      </c>
      <c r="CC672" t="s">
        <v>301</v>
      </c>
      <c r="CD672" t="s">
        <v>223</v>
      </c>
      <c r="CE672" t="s">
        <v>242</v>
      </c>
      <c r="CJ672" t="s">
        <v>206</v>
      </c>
      <c r="CK672" t="s">
        <v>230</v>
      </c>
      <c r="CL672" t="s">
        <v>231</v>
      </c>
      <c r="CM672" t="s">
        <v>232</v>
      </c>
      <c r="CN672" t="s">
        <v>233</v>
      </c>
      <c r="CP672" t="s">
        <v>212</v>
      </c>
      <c r="CQ672" t="s">
        <v>212</v>
      </c>
      <c r="CR672" t="s">
        <v>212</v>
      </c>
      <c r="CS672" t="s">
        <v>212</v>
      </c>
      <c r="CY672" t="s">
        <v>212</v>
      </c>
      <c r="DB672" t="s">
        <v>234</v>
      </c>
      <c r="DE672" t="s">
        <v>212</v>
      </c>
      <c r="DF672" t="s">
        <v>212</v>
      </c>
      <c r="DG672" t="s">
        <v>235</v>
      </c>
      <c r="DH672" t="s">
        <v>212</v>
      </c>
      <c r="DJ672" t="s">
        <v>236</v>
      </c>
      <c r="DM672" t="s">
        <v>212</v>
      </c>
    </row>
    <row r="673" spans="1:117" x14ac:dyDescent="0.3">
      <c r="A673">
        <v>22827317</v>
      </c>
      <c r="B673">
        <v>8859988</v>
      </c>
      <c r="C673" t="str">
        <f>"160217500728"</f>
        <v>160217500728</v>
      </c>
      <c r="D673" t="s">
        <v>709</v>
      </c>
      <c r="E673" t="s">
        <v>1801</v>
      </c>
      <c r="F673" t="s">
        <v>710</v>
      </c>
      <c r="G673" s="1">
        <v>42417</v>
      </c>
      <c r="I673" t="s">
        <v>240</v>
      </c>
      <c r="J673" t="s">
        <v>200</v>
      </c>
      <c r="K673" t="s">
        <v>201</v>
      </c>
      <c r="R673" t="str">
        <f>"КАЗАХСТАН, АКМОЛИНСКАЯ, СТЕПНОГОРСК, 69, 49"</f>
        <v>КАЗАХСТАН, АКМОЛИНСКАЯ, СТЕПНОГОРСК, 69, 49</v>
      </c>
      <c r="S673" t="str">
        <f>"ҚАЗАҚСТАН, АҚМОЛА, СТЕПНОГОР, 69, 49"</f>
        <v>ҚАЗАҚСТАН, АҚМОЛА, СТЕПНОГОР, 69, 49</v>
      </c>
      <c r="T673" t="str">
        <f>"69, 49"</f>
        <v>69, 49</v>
      </c>
      <c r="U673" t="str">
        <f>"69, 49"</f>
        <v>69, 49</v>
      </c>
      <c r="AC673" t="str">
        <f t="shared" si="29"/>
        <v>2022-08-25T00:00:00</v>
      </c>
      <c r="AD673" t="str">
        <f t="shared" si="30"/>
        <v>120</v>
      </c>
      <c r="AG673" t="s">
        <v>202</v>
      </c>
      <c r="AI673" t="s">
        <v>299</v>
      </c>
      <c r="AJ673" t="s">
        <v>570</v>
      </c>
      <c r="AK673" t="s">
        <v>205</v>
      </c>
      <c r="AL673" t="s">
        <v>206</v>
      </c>
      <c r="AN673" t="s">
        <v>207</v>
      </c>
      <c r="AO673">
        <v>2</v>
      </c>
      <c r="AP673" t="s">
        <v>208</v>
      </c>
      <c r="AQ673" t="s">
        <v>209</v>
      </c>
      <c r="AR673" t="s">
        <v>502</v>
      </c>
      <c r="AW673" t="s">
        <v>212</v>
      </c>
      <c r="AZ673" t="s">
        <v>209</v>
      </c>
      <c r="BI673" t="s">
        <v>212</v>
      </c>
      <c r="BJ673" t="s">
        <v>213</v>
      </c>
      <c r="BK673" t="s">
        <v>214</v>
      </c>
      <c r="BL673" t="s">
        <v>357</v>
      </c>
      <c r="BN673" t="s">
        <v>247</v>
      </c>
      <c r="BO673" t="s">
        <v>209</v>
      </c>
      <c r="BP673" t="s">
        <v>241</v>
      </c>
      <c r="BQ673">
        <v>3</v>
      </c>
      <c r="BS673" t="s">
        <v>220</v>
      </c>
      <c r="BU673" t="s">
        <v>212</v>
      </c>
      <c r="BZ673" t="s">
        <v>623</v>
      </c>
      <c r="CA673" t="s">
        <v>287</v>
      </c>
      <c r="CC673" t="s">
        <v>222</v>
      </c>
      <c r="CD673" t="s">
        <v>223</v>
      </c>
      <c r="CE673" t="s">
        <v>242</v>
      </c>
      <c r="CJ673" t="s">
        <v>206</v>
      </c>
      <c r="CK673" t="s">
        <v>230</v>
      </c>
      <c r="CL673" t="s">
        <v>231</v>
      </c>
      <c r="CM673" t="s">
        <v>232</v>
      </c>
      <c r="CN673" t="s">
        <v>233</v>
      </c>
      <c r="CP673" t="s">
        <v>212</v>
      </c>
      <c r="CQ673" t="s">
        <v>212</v>
      </c>
      <c r="CR673" t="s">
        <v>212</v>
      </c>
      <c r="CS673" t="s">
        <v>212</v>
      </c>
      <c r="CY673" t="s">
        <v>212</v>
      </c>
      <c r="DB673" t="s">
        <v>234</v>
      </c>
      <c r="DE673" t="s">
        <v>212</v>
      </c>
      <c r="DF673" t="s">
        <v>212</v>
      </c>
      <c r="DG673" t="s">
        <v>235</v>
      </c>
      <c r="DH673" t="s">
        <v>212</v>
      </c>
      <c r="DJ673" t="s">
        <v>236</v>
      </c>
      <c r="DM673" t="s">
        <v>212</v>
      </c>
    </row>
    <row r="674" spans="1:117" x14ac:dyDescent="0.3">
      <c r="A674">
        <v>22827457</v>
      </c>
      <c r="B674">
        <v>841129</v>
      </c>
      <c r="C674" t="str">
        <f>"160119600197"</f>
        <v>160119600197</v>
      </c>
      <c r="D674" t="s">
        <v>1802</v>
      </c>
      <c r="E674" t="s">
        <v>372</v>
      </c>
      <c r="F674" t="s">
        <v>406</v>
      </c>
      <c r="G674" s="1">
        <v>42388</v>
      </c>
      <c r="I674" t="s">
        <v>199</v>
      </c>
      <c r="J674" t="s">
        <v>200</v>
      </c>
      <c r="K674" t="s">
        <v>260</v>
      </c>
      <c r="R674" t="str">
        <f>"КАЗАХСТАН, АКМОЛИНСКАЯ, СТЕПНОГОРСК, АКСУ, 3, 1"</f>
        <v>КАЗАХСТАН, АКМОЛИНСКАЯ, СТЕПНОГОРСК, АКСУ, 3, 1</v>
      </c>
      <c r="S674" t="str">
        <f>"ҚАЗАҚСТАН, АҚМОЛА, СТЕПНОГОР, АКСУ, 3, 1"</f>
        <v>ҚАЗАҚСТАН, АҚМОЛА, СТЕПНОГОР, АКСУ, 3, 1</v>
      </c>
      <c r="T674" t="str">
        <f>"АКСУ, 3, 1"</f>
        <v>АКСУ, 3, 1</v>
      </c>
      <c r="U674" t="str">
        <f>"АКСУ, 3, 1"</f>
        <v>АКСУ, 3, 1</v>
      </c>
      <c r="AC674" t="str">
        <f t="shared" si="29"/>
        <v>2022-08-25T00:00:00</v>
      </c>
      <c r="AD674" t="str">
        <f t="shared" si="30"/>
        <v>120</v>
      </c>
      <c r="AE674" t="str">
        <f>"2023-09-01T17:52:28"</f>
        <v>2023-09-01T17:52:28</v>
      </c>
      <c r="AF674" t="str">
        <f>"2024-05-25T17:52:28"</f>
        <v>2024-05-25T17:52:28</v>
      </c>
      <c r="AG674" t="s">
        <v>202</v>
      </c>
      <c r="AI674" t="s">
        <v>299</v>
      </c>
      <c r="AJ674" t="s">
        <v>570</v>
      </c>
      <c r="AK674" t="s">
        <v>205</v>
      </c>
      <c r="AL674" t="s">
        <v>206</v>
      </c>
      <c r="AN674" t="s">
        <v>207</v>
      </c>
      <c r="AO674">
        <v>2</v>
      </c>
      <c r="AP674" t="s">
        <v>208</v>
      </c>
      <c r="AQ674" t="s">
        <v>209</v>
      </c>
      <c r="AR674" t="s">
        <v>502</v>
      </c>
      <c r="AW674" t="s">
        <v>212</v>
      </c>
      <c r="AZ674" t="s">
        <v>209</v>
      </c>
      <c r="BI674" t="s">
        <v>212</v>
      </c>
      <c r="BJ674" t="s">
        <v>213</v>
      </c>
      <c r="BK674" t="s">
        <v>214</v>
      </c>
      <c r="BL674" t="s">
        <v>357</v>
      </c>
      <c r="BN674" t="s">
        <v>216</v>
      </c>
      <c r="BO674" t="s">
        <v>209</v>
      </c>
      <c r="BP674" t="s">
        <v>241</v>
      </c>
      <c r="BQ674">
        <v>4</v>
      </c>
      <c r="BS674" t="s">
        <v>220</v>
      </c>
      <c r="BU674" t="s">
        <v>212</v>
      </c>
      <c r="BZ674" t="s">
        <v>623</v>
      </c>
      <c r="CA674" t="s">
        <v>287</v>
      </c>
      <c r="CC674" t="s">
        <v>224</v>
      </c>
      <c r="CD674" t="s">
        <v>349</v>
      </c>
      <c r="CE674" t="s">
        <v>242</v>
      </c>
      <c r="CJ674" t="s">
        <v>206</v>
      </c>
      <c r="CK674" t="s">
        <v>230</v>
      </c>
      <c r="CL674" t="s">
        <v>231</v>
      </c>
      <c r="CM674" t="s">
        <v>232</v>
      </c>
      <c r="CN674" t="s">
        <v>233</v>
      </c>
      <c r="CP674" t="s">
        <v>212</v>
      </c>
      <c r="CQ674" t="s">
        <v>212</v>
      </c>
      <c r="CR674" t="s">
        <v>212</v>
      </c>
      <c r="CS674" t="s">
        <v>212</v>
      </c>
      <c r="CY674" t="s">
        <v>212</v>
      </c>
      <c r="DB674" t="s">
        <v>234</v>
      </c>
      <c r="DE674" t="s">
        <v>212</v>
      </c>
      <c r="DF674" t="s">
        <v>212</v>
      </c>
      <c r="DG674" t="s">
        <v>235</v>
      </c>
      <c r="DH674" t="s">
        <v>212</v>
      </c>
      <c r="DJ674" t="s">
        <v>236</v>
      </c>
      <c r="DM674" t="s">
        <v>212</v>
      </c>
    </row>
    <row r="675" spans="1:117" x14ac:dyDescent="0.3">
      <c r="A675">
        <v>22827521</v>
      </c>
      <c r="B675">
        <v>8715937</v>
      </c>
      <c r="C675" t="str">
        <f>"160403500898"</f>
        <v>160403500898</v>
      </c>
      <c r="D675" t="s">
        <v>1665</v>
      </c>
      <c r="E675" t="s">
        <v>644</v>
      </c>
      <c r="F675" t="s">
        <v>1803</v>
      </c>
      <c r="G675" s="1">
        <v>42463</v>
      </c>
      <c r="I675" t="s">
        <v>240</v>
      </c>
      <c r="J675" t="s">
        <v>200</v>
      </c>
      <c r="K675" t="s">
        <v>201</v>
      </c>
      <c r="R675" t="str">
        <f>"КАЗАХСТАН, АКМОЛИНСКАЯ, СТЕПНОГОРСК, 30, 8"</f>
        <v>КАЗАХСТАН, АКМОЛИНСКАЯ, СТЕПНОГОРСК, 30, 8</v>
      </c>
      <c r="S675" t="str">
        <f>"ҚАЗАҚСТАН, АҚМОЛА, СТЕПНОГОР, 30, 8"</f>
        <v>ҚАЗАҚСТАН, АҚМОЛА, СТЕПНОГОР, 30, 8</v>
      </c>
      <c r="T675" t="str">
        <f>"30, 8"</f>
        <v>30, 8</v>
      </c>
      <c r="U675" t="str">
        <f>"30, 8"</f>
        <v>30, 8</v>
      </c>
      <c r="AC675" t="str">
        <f t="shared" si="29"/>
        <v>2022-08-25T00:00:00</v>
      </c>
      <c r="AD675" t="str">
        <f t="shared" si="30"/>
        <v>120</v>
      </c>
      <c r="AE675" t="str">
        <f>"2023-09-01T17:53:01"</f>
        <v>2023-09-01T17:53:01</v>
      </c>
      <c r="AF675" t="str">
        <f>"2024-05-25T17:53:01"</f>
        <v>2024-05-25T17:53:01</v>
      </c>
      <c r="AG675" t="s">
        <v>202</v>
      </c>
      <c r="AI675" t="s">
        <v>299</v>
      </c>
      <c r="AJ675" t="s">
        <v>570</v>
      </c>
      <c r="AK675" t="s">
        <v>205</v>
      </c>
      <c r="AL675" t="s">
        <v>206</v>
      </c>
      <c r="AN675" t="s">
        <v>207</v>
      </c>
      <c r="AO675">
        <v>2</v>
      </c>
      <c r="AP675" t="s">
        <v>208</v>
      </c>
      <c r="AQ675" t="s">
        <v>209</v>
      </c>
      <c r="AR675" t="s">
        <v>502</v>
      </c>
      <c r="AW675" t="s">
        <v>212</v>
      </c>
      <c r="AZ675" t="s">
        <v>209</v>
      </c>
      <c r="BI675" t="s">
        <v>212</v>
      </c>
      <c r="BJ675" t="s">
        <v>213</v>
      </c>
      <c r="BK675" t="s">
        <v>214</v>
      </c>
      <c r="BL675" t="s">
        <v>357</v>
      </c>
      <c r="BN675" t="s">
        <v>216</v>
      </c>
      <c r="BO675" t="s">
        <v>209</v>
      </c>
      <c r="BP675" t="s">
        <v>241</v>
      </c>
      <c r="BQ675">
        <v>5</v>
      </c>
      <c r="BS675" t="s">
        <v>220</v>
      </c>
      <c r="BU675" t="s">
        <v>212</v>
      </c>
      <c r="BZ675" t="s">
        <v>623</v>
      </c>
      <c r="CA675" t="s">
        <v>287</v>
      </c>
      <c r="CC675" t="s">
        <v>256</v>
      </c>
      <c r="CD675" t="s">
        <v>349</v>
      </c>
      <c r="CE675" t="s">
        <v>242</v>
      </c>
      <c r="CJ675" t="s">
        <v>206</v>
      </c>
      <c r="CK675" t="s">
        <v>230</v>
      </c>
      <c r="CL675" t="s">
        <v>231</v>
      </c>
      <c r="CM675" t="s">
        <v>232</v>
      </c>
      <c r="CN675" t="s">
        <v>233</v>
      </c>
      <c r="CP675" t="s">
        <v>212</v>
      </c>
      <c r="CQ675" t="s">
        <v>212</v>
      </c>
      <c r="CR675" t="s">
        <v>212</v>
      </c>
      <c r="CS675" t="s">
        <v>212</v>
      </c>
      <c r="CY675" t="s">
        <v>212</v>
      </c>
      <c r="DB675" t="s">
        <v>234</v>
      </c>
      <c r="DE675" t="s">
        <v>212</v>
      </c>
      <c r="DF675" t="s">
        <v>212</v>
      </c>
      <c r="DG675" t="s">
        <v>235</v>
      </c>
      <c r="DH675" t="s">
        <v>212</v>
      </c>
      <c r="DJ675" t="s">
        <v>236</v>
      </c>
      <c r="DM675" t="s">
        <v>212</v>
      </c>
    </row>
    <row r="676" spans="1:117" x14ac:dyDescent="0.3">
      <c r="A676">
        <v>22827601</v>
      </c>
      <c r="B676">
        <v>11248343</v>
      </c>
      <c r="C676" t="str">
        <f>"151221501451"</f>
        <v>151221501451</v>
      </c>
      <c r="D676" t="s">
        <v>1804</v>
      </c>
      <c r="E676" t="s">
        <v>1805</v>
      </c>
      <c r="F676" t="s">
        <v>1806</v>
      </c>
      <c r="G676" s="1">
        <v>42359</v>
      </c>
      <c r="I676" t="s">
        <v>240</v>
      </c>
      <c r="J676" t="s">
        <v>200</v>
      </c>
      <c r="K676" t="s">
        <v>201</v>
      </c>
      <c r="R676" t="str">
        <f>"КАЗАХСТАН, АКМОЛИНСКАЯ, КОКШЕТАУ, 26, 67"</f>
        <v>КАЗАХСТАН, АКМОЛИНСКАЯ, КОКШЕТАУ, 26, 67</v>
      </c>
      <c r="S676" t="str">
        <f>"ҚАЗАҚСТАН, АҚМОЛА, КӨКШЕТАУ, 26, 67"</f>
        <v>ҚАЗАҚСТАН, АҚМОЛА, КӨКШЕТАУ, 26, 67</v>
      </c>
      <c r="T676" t="str">
        <f>"26, 67"</f>
        <v>26, 67</v>
      </c>
      <c r="U676" t="str">
        <f>"26, 67"</f>
        <v>26, 67</v>
      </c>
      <c r="AC676" t="str">
        <f t="shared" si="29"/>
        <v>2022-08-25T00:00:00</v>
      </c>
      <c r="AD676" t="str">
        <f t="shared" si="30"/>
        <v>120</v>
      </c>
      <c r="AE676" t="str">
        <f>"2023-09-01T17:51:29"</f>
        <v>2023-09-01T17:51:29</v>
      </c>
      <c r="AF676" t="str">
        <f>"2024-05-25T17:51:29"</f>
        <v>2024-05-25T17:51:29</v>
      </c>
      <c r="AG676" t="s">
        <v>202</v>
      </c>
      <c r="AI676" t="s">
        <v>203</v>
      </c>
      <c r="AJ676" t="s">
        <v>570</v>
      </c>
      <c r="AK676" t="s">
        <v>205</v>
      </c>
      <c r="AL676" t="s">
        <v>206</v>
      </c>
      <c r="AN676" t="s">
        <v>207</v>
      </c>
      <c r="AO676">
        <v>2</v>
      </c>
      <c r="AP676" t="s">
        <v>208</v>
      </c>
      <c r="AQ676" t="s">
        <v>209</v>
      </c>
      <c r="AR676" t="s">
        <v>502</v>
      </c>
      <c r="AW676" t="s">
        <v>212</v>
      </c>
      <c r="AZ676" t="s">
        <v>209</v>
      </c>
      <c r="BI676" t="s">
        <v>212</v>
      </c>
      <c r="BJ676" t="s">
        <v>213</v>
      </c>
      <c r="BK676" t="s">
        <v>214</v>
      </c>
      <c r="BL676" t="s">
        <v>357</v>
      </c>
      <c r="BN676" t="s">
        <v>281</v>
      </c>
      <c r="BO676" t="s">
        <v>209</v>
      </c>
      <c r="BP676" t="s">
        <v>241</v>
      </c>
      <c r="BQ676">
        <v>5</v>
      </c>
      <c r="BS676" t="s">
        <v>220</v>
      </c>
      <c r="BU676" t="s">
        <v>212</v>
      </c>
      <c r="BZ676" t="s">
        <v>623</v>
      </c>
      <c r="CA676" t="s">
        <v>287</v>
      </c>
      <c r="CC676" t="s">
        <v>404</v>
      </c>
      <c r="CD676" t="s">
        <v>349</v>
      </c>
      <c r="CE676" t="s">
        <v>242</v>
      </c>
      <c r="CJ676" t="s">
        <v>206</v>
      </c>
      <c r="CK676" t="s">
        <v>230</v>
      </c>
      <c r="CL676" t="s">
        <v>231</v>
      </c>
      <c r="CM676" t="s">
        <v>232</v>
      </c>
      <c r="CN676" t="s">
        <v>233</v>
      </c>
      <c r="CP676" t="s">
        <v>212</v>
      </c>
      <c r="CQ676" t="s">
        <v>212</v>
      </c>
      <c r="CR676" t="s">
        <v>212</v>
      </c>
      <c r="CS676" t="s">
        <v>212</v>
      </c>
      <c r="CY676" t="s">
        <v>212</v>
      </c>
      <c r="DB676" t="s">
        <v>234</v>
      </c>
      <c r="DE676" t="s">
        <v>212</v>
      </c>
      <c r="DF676" t="s">
        <v>212</v>
      </c>
      <c r="DG676" t="s">
        <v>235</v>
      </c>
      <c r="DH676" t="s">
        <v>212</v>
      </c>
      <c r="DJ676" t="s">
        <v>236</v>
      </c>
      <c r="DM676" t="s">
        <v>212</v>
      </c>
    </row>
    <row r="677" spans="1:117" x14ac:dyDescent="0.3">
      <c r="A677">
        <v>22827654</v>
      </c>
      <c r="B677">
        <v>9201462</v>
      </c>
      <c r="C677" t="str">
        <f>"160518502621"</f>
        <v>160518502621</v>
      </c>
      <c r="D677" t="s">
        <v>1807</v>
      </c>
      <c r="E677" t="s">
        <v>828</v>
      </c>
      <c r="F677" t="s">
        <v>641</v>
      </c>
      <c r="G677" s="1">
        <v>42508</v>
      </c>
      <c r="I677" t="s">
        <v>240</v>
      </c>
      <c r="J677" t="s">
        <v>200</v>
      </c>
      <c r="K677" t="s">
        <v>260</v>
      </c>
      <c r="Q677" t="s">
        <v>212</v>
      </c>
      <c r="R677" t="str">
        <f>"КАЗАХСТАН, АКМОЛИНСКАЯ, СТЕПНОГОРСК, 23, 8"</f>
        <v>КАЗАХСТАН, АКМОЛИНСКАЯ, СТЕПНОГОРСК, 23, 8</v>
      </c>
      <c r="S677" t="str">
        <f>"ҚАЗАҚСТАН, АҚМОЛА, СТЕПНОГОР, 23, 8"</f>
        <v>ҚАЗАҚСТАН, АҚМОЛА, СТЕПНОГОР, 23, 8</v>
      </c>
      <c r="T677" t="str">
        <f>"23, 8"</f>
        <v>23, 8</v>
      </c>
      <c r="U677" t="str">
        <f>"23, 8"</f>
        <v>23, 8</v>
      </c>
      <c r="AC677" t="str">
        <f t="shared" si="29"/>
        <v>2022-08-25T00:00:00</v>
      </c>
      <c r="AD677" t="str">
        <f t="shared" si="30"/>
        <v>120</v>
      </c>
      <c r="AE677" t="str">
        <f>"2023-09-01T14:11:49"</f>
        <v>2023-09-01T14:11:49</v>
      </c>
      <c r="AF677" t="str">
        <f>"2024-05-25T14:11:49"</f>
        <v>2024-05-25T14:11:49</v>
      </c>
      <c r="AG677" t="s">
        <v>202</v>
      </c>
      <c r="AI677" t="s">
        <v>274</v>
      </c>
      <c r="AJ677" t="s">
        <v>570</v>
      </c>
      <c r="AK677" t="s">
        <v>205</v>
      </c>
      <c r="AL677" t="s">
        <v>206</v>
      </c>
      <c r="AN677" t="s">
        <v>207</v>
      </c>
      <c r="AO677">
        <v>2</v>
      </c>
      <c r="AP677" t="s">
        <v>208</v>
      </c>
      <c r="AQ677" t="s">
        <v>209</v>
      </c>
      <c r="AR677" t="s">
        <v>502</v>
      </c>
      <c r="AW677" t="s">
        <v>212</v>
      </c>
      <c r="AZ677" t="s">
        <v>209</v>
      </c>
      <c r="BI677" t="s">
        <v>212</v>
      </c>
      <c r="BJ677" t="s">
        <v>213</v>
      </c>
      <c r="BK677" t="s">
        <v>214</v>
      </c>
      <c r="BL677" t="s">
        <v>357</v>
      </c>
      <c r="BN677" t="s">
        <v>216</v>
      </c>
      <c r="BO677" t="s">
        <v>209</v>
      </c>
      <c r="BP677" t="s">
        <v>241</v>
      </c>
      <c r="BQ677">
        <v>4</v>
      </c>
      <c r="BS677" t="s">
        <v>220</v>
      </c>
      <c r="BU677" t="s">
        <v>212</v>
      </c>
      <c r="BZ677" t="s">
        <v>623</v>
      </c>
      <c r="CA677" t="s">
        <v>287</v>
      </c>
      <c r="CC677" t="s">
        <v>222</v>
      </c>
      <c r="CD677" t="s">
        <v>223</v>
      </c>
      <c r="CE677" t="s">
        <v>242</v>
      </c>
      <c r="CJ677" t="s">
        <v>206</v>
      </c>
      <c r="CK677" t="s">
        <v>230</v>
      </c>
      <c r="CL677" t="s">
        <v>231</v>
      </c>
      <c r="CM677" t="s">
        <v>232</v>
      </c>
      <c r="CN677" t="s">
        <v>233</v>
      </c>
      <c r="CP677" t="s">
        <v>212</v>
      </c>
      <c r="CQ677" t="s">
        <v>212</v>
      </c>
      <c r="CR677" t="s">
        <v>212</v>
      </c>
      <c r="CS677" t="s">
        <v>212</v>
      </c>
      <c r="CY677" t="s">
        <v>212</v>
      </c>
      <c r="DB677" t="s">
        <v>234</v>
      </c>
      <c r="DE677" t="s">
        <v>212</v>
      </c>
      <c r="DF677" t="s">
        <v>212</v>
      </c>
      <c r="DG677" t="s">
        <v>235</v>
      </c>
      <c r="DH677" t="s">
        <v>212</v>
      </c>
      <c r="DJ677" t="s">
        <v>236</v>
      </c>
      <c r="DM677" t="s">
        <v>212</v>
      </c>
    </row>
    <row r="678" spans="1:117" x14ac:dyDescent="0.3">
      <c r="A678">
        <v>22844092</v>
      </c>
      <c r="B678">
        <v>290363</v>
      </c>
      <c r="C678" t="str">
        <f>"060506551415"</f>
        <v>060506551415</v>
      </c>
      <c r="D678" t="s">
        <v>1808</v>
      </c>
      <c r="E678" t="s">
        <v>1809</v>
      </c>
      <c r="F678" t="s">
        <v>1810</v>
      </c>
      <c r="G678" s="1">
        <v>38843</v>
      </c>
      <c r="I678" t="s">
        <v>240</v>
      </c>
      <c r="J678" t="s">
        <v>200</v>
      </c>
      <c r="K678" t="s">
        <v>201</v>
      </c>
      <c r="Q678" t="s">
        <v>212</v>
      </c>
      <c r="R678" t="str">
        <f>"КАЗАХСТАН, АКМОЛИНСКАЯ, СТЕПНОГОРСК, 10, 75"</f>
        <v>КАЗАХСТАН, АКМОЛИНСКАЯ, СТЕПНОГОРСК, 10, 75</v>
      </c>
      <c r="S678" t="str">
        <f>"ҚАЗАҚСТАН, АҚМОЛА, СТЕПНОГОР, 10, 75"</f>
        <v>ҚАЗАҚСТАН, АҚМОЛА, СТЕПНОГОР, 10, 75</v>
      </c>
      <c r="T678" t="str">
        <f>"10, 75"</f>
        <v>10, 75</v>
      </c>
      <c r="U678" t="str">
        <f>"10, 75"</f>
        <v>10, 75</v>
      </c>
      <c r="AC678" t="str">
        <f t="shared" si="29"/>
        <v>2022-08-25T00:00:00</v>
      </c>
      <c r="AD678" t="str">
        <f t="shared" ref="AD678:AD702" si="31">"102"</f>
        <v>102</v>
      </c>
      <c r="AG678" t="s">
        <v>202</v>
      </c>
      <c r="AH678" t="str">
        <f t="shared" ref="AH678:AH700" si="32">"ckool007@mail.ru"</f>
        <v>ckool007@mail.ru</v>
      </c>
      <c r="AI678" t="s">
        <v>203</v>
      </c>
      <c r="AJ678" t="s">
        <v>795</v>
      </c>
      <c r="AK678" t="s">
        <v>205</v>
      </c>
      <c r="AL678" t="s">
        <v>206</v>
      </c>
      <c r="AN678" t="s">
        <v>207</v>
      </c>
      <c r="AO678">
        <v>1</v>
      </c>
      <c r="AP678" t="s">
        <v>208</v>
      </c>
      <c r="AQ678" t="s">
        <v>209</v>
      </c>
      <c r="AR678" t="s">
        <v>210</v>
      </c>
      <c r="AW678" t="s">
        <v>206</v>
      </c>
      <c r="AX678" t="s">
        <v>211</v>
      </c>
      <c r="AZ678" t="s">
        <v>209</v>
      </c>
      <c r="BI678" t="s">
        <v>212</v>
      </c>
      <c r="BJ678" t="s">
        <v>213</v>
      </c>
      <c r="BK678" t="s">
        <v>214</v>
      </c>
      <c r="BL678" t="s">
        <v>215</v>
      </c>
      <c r="BN678" t="s">
        <v>247</v>
      </c>
      <c r="BO678" t="s">
        <v>209</v>
      </c>
      <c r="BP678" t="s">
        <v>1811</v>
      </c>
      <c r="BQ678" t="s">
        <v>1812</v>
      </c>
      <c r="BS678" t="s">
        <v>219</v>
      </c>
      <c r="BT678" t="s">
        <v>220</v>
      </c>
      <c r="BU678" t="s">
        <v>206</v>
      </c>
      <c r="BX678" t="s">
        <v>221</v>
      </c>
      <c r="BY678" t="s">
        <v>221</v>
      </c>
      <c r="CA678" t="s">
        <v>256</v>
      </c>
      <c r="CB678" t="s">
        <v>223</v>
      </c>
      <c r="CC678" t="s">
        <v>256</v>
      </c>
      <c r="CD678" t="s">
        <v>223</v>
      </c>
      <c r="CE678" t="s">
        <v>242</v>
      </c>
      <c r="CJ678" t="s">
        <v>206</v>
      </c>
      <c r="CK678" t="s">
        <v>230</v>
      </c>
      <c r="CL678" t="s">
        <v>231</v>
      </c>
      <c r="CM678" t="s">
        <v>232</v>
      </c>
      <c r="CN678" t="s">
        <v>233</v>
      </c>
      <c r="CP678" t="s">
        <v>212</v>
      </c>
      <c r="CQ678" t="s">
        <v>212</v>
      </c>
      <c r="CR678" t="s">
        <v>212</v>
      </c>
      <c r="CS678" t="s">
        <v>212</v>
      </c>
      <c r="CY678" t="s">
        <v>212</v>
      </c>
      <c r="DB678" t="s">
        <v>234</v>
      </c>
      <c r="DE678" t="s">
        <v>212</v>
      </c>
      <c r="DF678" t="s">
        <v>212</v>
      </c>
      <c r="DG678" t="s">
        <v>235</v>
      </c>
      <c r="DH678" t="s">
        <v>212</v>
      </c>
      <c r="DJ678" t="s">
        <v>236</v>
      </c>
      <c r="DM678" t="s">
        <v>212</v>
      </c>
    </row>
    <row r="679" spans="1:117" x14ac:dyDescent="0.3">
      <c r="A679">
        <v>22844093</v>
      </c>
      <c r="B679">
        <v>290476</v>
      </c>
      <c r="C679" t="str">
        <f>"051207550521"</f>
        <v>051207550521</v>
      </c>
      <c r="D679" t="s">
        <v>1434</v>
      </c>
      <c r="E679" t="s">
        <v>1813</v>
      </c>
      <c r="F679" t="s">
        <v>1814</v>
      </c>
      <c r="G679" s="1">
        <v>38693</v>
      </c>
      <c r="I679" t="s">
        <v>240</v>
      </c>
      <c r="J679" t="s">
        <v>200</v>
      </c>
      <c r="K679" t="s">
        <v>201</v>
      </c>
      <c r="Q679" t="s">
        <v>212</v>
      </c>
      <c r="R679" t="str">
        <f>"КАЗАХСТАН, АКМОЛИНСКАЯ, СТЕПНОГОРСК, 37, 119"</f>
        <v>КАЗАХСТАН, АКМОЛИНСКАЯ, СТЕПНОГОРСК, 37, 119</v>
      </c>
      <c r="S679" t="str">
        <f>"ҚАЗАҚСТАН, АҚМОЛА, СТЕПНОГОР, 37, 119"</f>
        <v>ҚАЗАҚСТАН, АҚМОЛА, СТЕПНОГОР, 37, 119</v>
      </c>
      <c r="T679" t="str">
        <f>"37, 119"</f>
        <v>37, 119</v>
      </c>
      <c r="U679" t="str">
        <f>"37, 119"</f>
        <v>37, 119</v>
      </c>
      <c r="AC679" t="str">
        <f t="shared" si="29"/>
        <v>2022-08-25T00:00:00</v>
      </c>
      <c r="AD679" t="str">
        <f t="shared" si="31"/>
        <v>102</v>
      </c>
      <c r="AG679" t="s">
        <v>333</v>
      </c>
      <c r="AH679" t="str">
        <f t="shared" si="32"/>
        <v>ckool007@mail.ru</v>
      </c>
      <c r="AI679" t="s">
        <v>274</v>
      </c>
      <c r="AJ679" t="s">
        <v>795</v>
      </c>
      <c r="AK679" t="s">
        <v>205</v>
      </c>
      <c r="AL679" t="s">
        <v>206</v>
      </c>
      <c r="AN679" t="s">
        <v>207</v>
      </c>
      <c r="AO679">
        <v>1</v>
      </c>
      <c r="AP679" t="s">
        <v>208</v>
      </c>
      <c r="AQ679" t="s">
        <v>209</v>
      </c>
      <c r="AR679" t="s">
        <v>210</v>
      </c>
      <c r="AW679" t="s">
        <v>206</v>
      </c>
      <c r="AX679" t="s">
        <v>211</v>
      </c>
      <c r="AZ679" t="s">
        <v>209</v>
      </c>
      <c r="BI679" t="s">
        <v>212</v>
      </c>
      <c r="BJ679" t="s">
        <v>213</v>
      </c>
      <c r="BK679" t="s">
        <v>214</v>
      </c>
      <c r="BL679" t="s">
        <v>215</v>
      </c>
      <c r="BN679" t="s">
        <v>247</v>
      </c>
      <c r="BO679" t="s">
        <v>209</v>
      </c>
      <c r="BP679" t="s">
        <v>241</v>
      </c>
      <c r="BQ679">
        <v>3</v>
      </c>
      <c r="BS679" t="s">
        <v>219</v>
      </c>
      <c r="BT679" t="s">
        <v>220</v>
      </c>
      <c r="BU679" t="s">
        <v>206</v>
      </c>
      <c r="BX679" t="s">
        <v>221</v>
      </c>
      <c r="BY679" t="s">
        <v>221</v>
      </c>
      <c r="CA679" t="s">
        <v>317</v>
      </c>
      <c r="CB679" t="s">
        <v>223</v>
      </c>
      <c r="CC679" t="s">
        <v>209</v>
      </c>
      <c r="CE679" t="s">
        <v>242</v>
      </c>
      <c r="CJ679" t="s">
        <v>206</v>
      </c>
      <c r="CK679" t="s">
        <v>230</v>
      </c>
      <c r="CL679" t="s">
        <v>231</v>
      </c>
      <c r="CM679" t="s">
        <v>232</v>
      </c>
      <c r="CN679" t="s">
        <v>233</v>
      </c>
      <c r="CP679" t="s">
        <v>212</v>
      </c>
      <c r="CQ679" t="s">
        <v>212</v>
      </c>
      <c r="CR679" t="s">
        <v>212</v>
      </c>
      <c r="CS679" t="s">
        <v>212</v>
      </c>
      <c r="CY679" t="s">
        <v>212</v>
      </c>
      <c r="DB679" t="s">
        <v>234</v>
      </c>
      <c r="DE679" t="s">
        <v>212</v>
      </c>
      <c r="DF679" t="s">
        <v>212</v>
      </c>
      <c r="DG679" t="s">
        <v>235</v>
      </c>
      <c r="DH679" t="s">
        <v>212</v>
      </c>
      <c r="DJ679" t="s">
        <v>236</v>
      </c>
      <c r="DM679" t="s">
        <v>206</v>
      </c>
    </row>
    <row r="680" spans="1:117" x14ac:dyDescent="0.3">
      <c r="A680">
        <v>22844095</v>
      </c>
      <c r="B680">
        <v>311447</v>
      </c>
      <c r="C680" t="str">
        <f>"060227650744"</f>
        <v>060227650744</v>
      </c>
      <c r="D680" t="s">
        <v>1730</v>
      </c>
      <c r="E680" t="s">
        <v>677</v>
      </c>
      <c r="F680" t="s">
        <v>1248</v>
      </c>
      <c r="G680" s="1">
        <v>38775</v>
      </c>
      <c r="I680" t="s">
        <v>199</v>
      </c>
      <c r="J680" t="s">
        <v>200</v>
      </c>
      <c r="K680" t="s">
        <v>806</v>
      </c>
      <c r="Q680" t="s">
        <v>212</v>
      </c>
      <c r="R680" t="str">
        <f>"КАЗАХСТАН, АКМОЛИНСКАЯ, СТЕПНОГОРСК, 42, 59"</f>
        <v>КАЗАХСТАН, АКМОЛИНСКАЯ, СТЕПНОГОРСК, 42, 59</v>
      </c>
      <c r="S680" t="str">
        <f>"ҚАЗАҚСТАН, АҚМОЛА, СТЕПНОГОР, 42, 59"</f>
        <v>ҚАЗАҚСТАН, АҚМОЛА, СТЕПНОГОР, 42, 59</v>
      </c>
      <c r="T680" t="str">
        <f>"42, 59"</f>
        <v>42, 59</v>
      </c>
      <c r="U680" t="str">
        <f>"42, 59"</f>
        <v>42, 59</v>
      </c>
      <c r="AC680" t="str">
        <f t="shared" si="29"/>
        <v>2022-08-25T00:00:00</v>
      </c>
      <c r="AD680" t="str">
        <f t="shared" si="31"/>
        <v>102</v>
      </c>
      <c r="AG680" t="s">
        <v>202</v>
      </c>
      <c r="AH680" t="str">
        <f t="shared" si="32"/>
        <v>ckool007@mail.ru</v>
      </c>
      <c r="AI680" t="s">
        <v>203</v>
      </c>
      <c r="AJ680" t="s">
        <v>795</v>
      </c>
      <c r="AK680" t="s">
        <v>205</v>
      </c>
      <c r="AL680" t="s">
        <v>206</v>
      </c>
      <c r="AN680" t="s">
        <v>207</v>
      </c>
      <c r="AO680">
        <v>1</v>
      </c>
      <c r="AP680" t="s">
        <v>208</v>
      </c>
      <c r="AQ680" t="s">
        <v>209</v>
      </c>
      <c r="AR680" t="s">
        <v>210</v>
      </c>
      <c r="AW680" t="s">
        <v>206</v>
      </c>
      <c r="AX680" t="s">
        <v>211</v>
      </c>
      <c r="AZ680" t="s">
        <v>209</v>
      </c>
      <c r="BI680" t="s">
        <v>212</v>
      </c>
      <c r="BJ680" t="s">
        <v>213</v>
      </c>
      <c r="BK680" t="s">
        <v>214</v>
      </c>
      <c r="BL680" t="s">
        <v>215</v>
      </c>
      <c r="BN680" t="s">
        <v>216</v>
      </c>
      <c r="BO680" t="s">
        <v>209</v>
      </c>
      <c r="BP680" t="s">
        <v>241</v>
      </c>
      <c r="BQ680">
        <v>4</v>
      </c>
      <c r="BS680" t="s">
        <v>219</v>
      </c>
      <c r="BT680" t="s">
        <v>220</v>
      </c>
      <c r="BU680" t="s">
        <v>206</v>
      </c>
      <c r="BX680" t="s">
        <v>234</v>
      </c>
      <c r="BY680" t="s">
        <v>234</v>
      </c>
      <c r="CA680" t="s">
        <v>249</v>
      </c>
      <c r="CB680" t="s">
        <v>223</v>
      </c>
      <c r="CC680" t="s">
        <v>209</v>
      </c>
      <c r="CE680" t="s">
        <v>242</v>
      </c>
      <c r="CJ680" t="s">
        <v>206</v>
      </c>
      <c r="CK680" t="s">
        <v>230</v>
      </c>
      <c r="CL680" t="s">
        <v>231</v>
      </c>
      <c r="CM680" t="s">
        <v>232</v>
      </c>
      <c r="CN680" t="s">
        <v>233</v>
      </c>
      <c r="CP680" t="s">
        <v>212</v>
      </c>
      <c r="CQ680" t="s">
        <v>212</v>
      </c>
      <c r="CR680" t="s">
        <v>212</v>
      </c>
      <c r="CS680" t="s">
        <v>212</v>
      </c>
      <c r="CY680" t="s">
        <v>212</v>
      </c>
      <c r="DB680" t="s">
        <v>234</v>
      </c>
      <c r="DE680" t="s">
        <v>212</v>
      </c>
      <c r="DF680" t="s">
        <v>212</v>
      </c>
      <c r="DG680" t="s">
        <v>235</v>
      </c>
      <c r="DH680" t="s">
        <v>212</v>
      </c>
      <c r="DJ680" t="s">
        <v>236</v>
      </c>
      <c r="DM680" t="s">
        <v>212</v>
      </c>
    </row>
    <row r="681" spans="1:117" x14ac:dyDescent="0.3">
      <c r="A681">
        <v>22844096</v>
      </c>
      <c r="B681">
        <v>311532</v>
      </c>
      <c r="C681" t="str">
        <f>"060318650184"</f>
        <v>060318650184</v>
      </c>
      <c r="D681" t="s">
        <v>296</v>
      </c>
      <c r="E681" t="s">
        <v>1392</v>
      </c>
      <c r="F681" t="s">
        <v>1815</v>
      </c>
      <c r="G681" s="1">
        <v>38794</v>
      </c>
      <c r="I681" t="s">
        <v>199</v>
      </c>
      <c r="J681" t="s">
        <v>200</v>
      </c>
      <c r="K681" t="s">
        <v>201</v>
      </c>
      <c r="Q681" t="s">
        <v>212</v>
      </c>
      <c r="R681" t="str">
        <f>"КАЗАХСТАН, АКМОЛИНСКАЯ, СТЕПНОГОРСК, 24, 8"</f>
        <v>КАЗАХСТАН, АКМОЛИНСКАЯ, СТЕПНОГОРСК, 24, 8</v>
      </c>
      <c r="S681" t="str">
        <f>"ҚАЗАҚСТАН, АҚМОЛА, СТЕПНОГОР, 24, 8"</f>
        <v>ҚАЗАҚСТАН, АҚМОЛА, СТЕПНОГОР, 24, 8</v>
      </c>
      <c r="T681" t="str">
        <f>"24, 8"</f>
        <v>24, 8</v>
      </c>
      <c r="U681" t="str">
        <f>"24, 8"</f>
        <v>24, 8</v>
      </c>
      <c r="AC681" t="str">
        <f t="shared" si="29"/>
        <v>2022-08-25T00:00:00</v>
      </c>
      <c r="AD681" t="str">
        <f t="shared" si="31"/>
        <v>102</v>
      </c>
      <c r="AG681" t="s">
        <v>202</v>
      </c>
      <c r="AH681" t="str">
        <f t="shared" si="32"/>
        <v>ckool007@mail.ru</v>
      </c>
      <c r="AI681" t="s">
        <v>299</v>
      </c>
      <c r="AJ681" t="s">
        <v>795</v>
      </c>
      <c r="AK681" t="s">
        <v>205</v>
      </c>
      <c r="AL681" t="s">
        <v>206</v>
      </c>
      <c r="AN681" t="s">
        <v>207</v>
      </c>
      <c r="AO681">
        <v>1</v>
      </c>
      <c r="AP681" t="s">
        <v>208</v>
      </c>
      <c r="AQ681" t="s">
        <v>209</v>
      </c>
      <c r="AR681" t="s">
        <v>210</v>
      </c>
      <c r="AW681" t="s">
        <v>206</v>
      </c>
      <c r="AX681" t="s">
        <v>211</v>
      </c>
      <c r="AZ681" t="s">
        <v>209</v>
      </c>
      <c r="BI681" t="s">
        <v>212</v>
      </c>
      <c r="BJ681" t="s">
        <v>213</v>
      </c>
      <c r="BK681" t="s">
        <v>214</v>
      </c>
      <c r="BL681" t="s">
        <v>215</v>
      </c>
      <c r="BN681" t="s">
        <v>216</v>
      </c>
      <c r="BO681" t="s">
        <v>209</v>
      </c>
      <c r="BP681" t="s">
        <v>241</v>
      </c>
      <c r="BQ681">
        <v>4</v>
      </c>
      <c r="BS681" t="s">
        <v>219</v>
      </c>
      <c r="BT681" t="s">
        <v>220</v>
      </c>
      <c r="BU681" t="s">
        <v>206</v>
      </c>
      <c r="BX681" t="s">
        <v>221</v>
      </c>
      <c r="BY681" t="s">
        <v>221</v>
      </c>
      <c r="CA681" t="s">
        <v>263</v>
      </c>
      <c r="CB681" t="s">
        <v>223</v>
      </c>
      <c r="CC681" t="s">
        <v>209</v>
      </c>
      <c r="CE681" t="s">
        <v>242</v>
      </c>
      <c r="CJ681" t="s">
        <v>206</v>
      </c>
      <c r="CK681" t="s">
        <v>230</v>
      </c>
      <c r="CL681" t="s">
        <v>231</v>
      </c>
      <c r="CM681" t="s">
        <v>232</v>
      </c>
      <c r="CN681" t="s">
        <v>233</v>
      </c>
      <c r="CP681" t="s">
        <v>212</v>
      </c>
      <c r="CQ681" t="s">
        <v>212</v>
      </c>
      <c r="CR681" t="s">
        <v>212</v>
      </c>
      <c r="CS681" t="s">
        <v>212</v>
      </c>
      <c r="CY681" t="s">
        <v>212</v>
      </c>
      <c r="DB681" t="s">
        <v>234</v>
      </c>
      <c r="DE681" t="s">
        <v>212</v>
      </c>
      <c r="DF681" t="s">
        <v>212</v>
      </c>
      <c r="DG681" t="s">
        <v>235</v>
      </c>
      <c r="DH681" t="s">
        <v>212</v>
      </c>
      <c r="DJ681" t="s">
        <v>236</v>
      </c>
      <c r="DM681" t="s">
        <v>212</v>
      </c>
    </row>
    <row r="682" spans="1:117" x14ac:dyDescent="0.3">
      <c r="A682">
        <v>22844097</v>
      </c>
      <c r="B682">
        <v>311556</v>
      </c>
      <c r="C682" t="str">
        <f>"060117650627"</f>
        <v>060117650627</v>
      </c>
      <c r="D682" t="s">
        <v>1816</v>
      </c>
      <c r="E682" t="s">
        <v>516</v>
      </c>
      <c r="F682" t="s">
        <v>406</v>
      </c>
      <c r="G682" s="1">
        <v>38734</v>
      </c>
      <c r="I682" t="s">
        <v>199</v>
      </c>
      <c r="J682" t="s">
        <v>200</v>
      </c>
      <c r="K682" t="s">
        <v>260</v>
      </c>
      <c r="Q682" t="s">
        <v>212</v>
      </c>
      <c r="R682" t="str">
        <f>"КАЗАХСТАН, АКМОЛИНСКАЯ, СТЕПНОГОРСК, 37, 54"</f>
        <v>КАЗАХСТАН, АКМОЛИНСКАЯ, СТЕПНОГОРСК, 37, 54</v>
      </c>
      <c r="S682" t="str">
        <f>"ҚАЗАҚСТАН, АҚМОЛА, СТЕПНОГОР, 37, 54"</f>
        <v>ҚАЗАҚСТАН, АҚМОЛА, СТЕПНОГОР, 37, 54</v>
      </c>
      <c r="T682" t="str">
        <f>"37, 54"</f>
        <v>37, 54</v>
      </c>
      <c r="U682" t="str">
        <f>"37, 54"</f>
        <v>37, 54</v>
      </c>
      <c r="AC682" t="str">
        <f t="shared" si="29"/>
        <v>2022-08-25T00:00:00</v>
      </c>
      <c r="AD682" t="str">
        <f t="shared" si="31"/>
        <v>102</v>
      </c>
      <c r="AG682" t="s">
        <v>202</v>
      </c>
      <c r="AH682" t="str">
        <f t="shared" si="32"/>
        <v>ckool007@mail.ru</v>
      </c>
      <c r="AI682" t="s">
        <v>203</v>
      </c>
      <c r="AJ682" t="s">
        <v>795</v>
      </c>
      <c r="AK682" t="s">
        <v>205</v>
      </c>
      <c r="AL682" t="s">
        <v>206</v>
      </c>
      <c r="AN682" t="s">
        <v>207</v>
      </c>
      <c r="AO682">
        <v>1</v>
      </c>
      <c r="AP682" t="s">
        <v>208</v>
      </c>
      <c r="AQ682" t="s">
        <v>209</v>
      </c>
      <c r="AR682" t="s">
        <v>210</v>
      </c>
      <c r="AW682" t="s">
        <v>206</v>
      </c>
      <c r="AX682" t="s">
        <v>211</v>
      </c>
      <c r="AZ682" t="s">
        <v>209</v>
      </c>
      <c r="BI682" t="s">
        <v>212</v>
      </c>
      <c r="BJ682" t="s">
        <v>213</v>
      </c>
      <c r="BK682" t="s">
        <v>214</v>
      </c>
      <c r="BL682" t="s">
        <v>215</v>
      </c>
      <c r="BN682" t="s">
        <v>216</v>
      </c>
      <c r="BO682" t="s">
        <v>209</v>
      </c>
      <c r="BP682" t="s">
        <v>241</v>
      </c>
      <c r="BQ682">
        <v>4</v>
      </c>
      <c r="BS682" t="s">
        <v>219</v>
      </c>
      <c r="BT682" t="s">
        <v>220</v>
      </c>
      <c r="BU682" t="s">
        <v>206</v>
      </c>
      <c r="BX682" t="s">
        <v>221</v>
      </c>
      <c r="BY682" t="s">
        <v>221</v>
      </c>
      <c r="CA682" t="s">
        <v>263</v>
      </c>
      <c r="CB682" t="s">
        <v>223</v>
      </c>
      <c r="CC682" t="s">
        <v>224</v>
      </c>
      <c r="CD682" t="s">
        <v>223</v>
      </c>
      <c r="CE682" t="s">
        <v>242</v>
      </c>
      <c r="CJ682" t="s">
        <v>206</v>
      </c>
      <c r="CK682" t="s">
        <v>230</v>
      </c>
      <c r="CL682" t="s">
        <v>231</v>
      </c>
      <c r="CM682" t="s">
        <v>232</v>
      </c>
      <c r="CN682" t="s">
        <v>233</v>
      </c>
      <c r="CP682" t="s">
        <v>212</v>
      </c>
      <c r="CQ682" t="s">
        <v>212</v>
      </c>
      <c r="CR682" t="s">
        <v>212</v>
      </c>
      <c r="CS682" t="s">
        <v>212</v>
      </c>
      <c r="CY682" t="s">
        <v>212</v>
      </c>
      <c r="DB682" t="s">
        <v>234</v>
      </c>
      <c r="DE682" t="s">
        <v>212</v>
      </c>
      <c r="DF682" t="s">
        <v>212</v>
      </c>
      <c r="DG682" t="s">
        <v>235</v>
      </c>
      <c r="DH682" t="s">
        <v>212</v>
      </c>
      <c r="DJ682" t="s">
        <v>236</v>
      </c>
      <c r="DM682" t="s">
        <v>212</v>
      </c>
    </row>
    <row r="683" spans="1:117" x14ac:dyDescent="0.3">
      <c r="A683">
        <v>22844098</v>
      </c>
      <c r="B683">
        <v>311582</v>
      </c>
      <c r="C683" t="str">
        <f>"051208550616"</f>
        <v>051208550616</v>
      </c>
      <c r="D683" t="s">
        <v>1131</v>
      </c>
      <c r="E683" t="s">
        <v>410</v>
      </c>
      <c r="F683" t="s">
        <v>403</v>
      </c>
      <c r="G683" s="1">
        <v>38694</v>
      </c>
      <c r="I683" t="s">
        <v>240</v>
      </c>
      <c r="J683" t="s">
        <v>200</v>
      </c>
      <c r="K683" t="s">
        <v>268</v>
      </c>
      <c r="Q683" t="s">
        <v>212</v>
      </c>
      <c r="R683" t="str">
        <f>"КАЗАХСТАН, АКМОЛИНСКАЯ, СТЕПНОГОРСК, 15, 183"</f>
        <v>КАЗАХСТАН, АКМОЛИНСКАЯ, СТЕПНОГОРСК, 15, 183</v>
      </c>
      <c r="S683" t="str">
        <f>"ҚАЗАҚСТАН, АҚМОЛА, СТЕПНОГОР, 15, 183"</f>
        <v>ҚАЗАҚСТАН, АҚМОЛА, СТЕПНОГОР, 15, 183</v>
      </c>
      <c r="T683" t="str">
        <f>"15, 183"</f>
        <v>15, 183</v>
      </c>
      <c r="U683" t="str">
        <f>"15, 183"</f>
        <v>15, 183</v>
      </c>
      <c r="AC683" t="str">
        <f t="shared" si="29"/>
        <v>2022-08-25T00:00:00</v>
      </c>
      <c r="AD683" t="str">
        <f t="shared" si="31"/>
        <v>102</v>
      </c>
      <c r="AG683" t="s">
        <v>202</v>
      </c>
      <c r="AH683" t="str">
        <f t="shared" si="32"/>
        <v>ckool007@mail.ru</v>
      </c>
      <c r="AI683" t="s">
        <v>203</v>
      </c>
      <c r="AJ683" t="s">
        <v>795</v>
      </c>
      <c r="AK683" t="s">
        <v>205</v>
      </c>
      <c r="AL683" t="s">
        <v>206</v>
      </c>
      <c r="AN683" t="s">
        <v>207</v>
      </c>
      <c r="AO683">
        <v>1</v>
      </c>
      <c r="AP683" t="s">
        <v>208</v>
      </c>
      <c r="AQ683" t="s">
        <v>209</v>
      </c>
      <c r="AR683" t="s">
        <v>210</v>
      </c>
      <c r="AW683" t="s">
        <v>206</v>
      </c>
      <c r="AX683" t="s">
        <v>211</v>
      </c>
      <c r="AZ683" t="s">
        <v>209</v>
      </c>
      <c r="BI683" t="s">
        <v>212</v>
      </c>
      <c r="BJ683" t="s">
        <v>213</v>
      </c>
      <c r="BK683" t="s">
        <v>214</v>
      </c>
      <c r="BL683" t="s">
        <v>215</v>
      </c>
      <c r="BN683" t="s">
        <v>216</v>
      </c>
      <c r="BO683" t="s">
        <v>209</v>
      </c>
      <c r="BP683" t="s">
        <v>241</v>
      </c>
      <c r="BQ683">
        <v>4</v>
      </c>
      <c r="BS683" t="s">
        <v>219</v>
      </c>
      <c r="BT683" t="s">
        <v>220</v>
      </c>
      <c r="BU683" t="s">
        <v>206</v>
      </c>
      <c r="BX683" t="s">
        <v>234</v>
      </c>
      <c r="BY683" t="s">
        <v>234</v>
      </c>
      <c r="CA683" t="s">
        <v>263</v>
      </c>
      <c r="CB683" t="s">
        <v>223</v>
      </c>
      <c r="CC683" t="s">
        <v>404</v>
      </c>
      <c r="CD683" t="s">
        <v>223</v>
      </c>
      <c r="CE683" t="s">
        <v>831</v>
      </c>
      <c r="CF683" t="s">
        <v>816</v>
      </c>
      <c r="CG683" t="s">
        <v>832</v>
      </c>
      <c r="CH683" t="s">
        <v>1436</v>
      </c>
      <c r="CI683" t="s">
        <v>1817</v>
      </c>
      <c r="CJ683" t="s">
        <v>206</v>
      </c>
      <c r="CK683" t="s">
        <v>230</v>
      </c>
      <c r="CL683" t="s">
        <v>231</v>
      </c>
      <c r="CM683" t="s">
        <v>232</v>
      </c>
      <c r="CN683" t="s">
        <v>233</v>
      </c>
      <c r="CP683" t="s">
        <v>212</v>
      </c>
      <c r="CQ683" t="s">
        <v>212</v>
      </c>
      <c r="CR683" t="s">
        <v>212</v>
      </c>
      <c r="CS683" t="s">
        <v>212</v>
      </c>
      <c r="CY683" t="s">
        <v>212</v>
      </c>
      <c r="DB683" t="s">
        <v>234</v>
      </c>
      <c r="DE683" t="s">
        <v>212</v>
      </c>
      <c r="DF683" t="s">
        <v>212</v>
      </c>
      <c r="DG683" t="s">
        <v>235</v>
      </c>
      <c r="DH683" t="s">
        <v>212</v>
      </c>
      <c r="DJ683" t="s">
        <v>236</v>
      </c>
      <c r="DM683" t="s">
        <v>212</v>
      </c>
    </row>
    <row r="684" spans="1:117" x14ac:dyDescent="0.3">
      <c r="A684">
        <v>22844099</v>
      </c>
      <c r="B684">
        <v>311610</v>
      </c>
      <c r="C684" t="str">
        <f>"060618651272"</f>
        <v>060618651272</v>
      </c>
      <c r="D684" t="s">
        <v>1818</v>
      </c>
      <c r="E684" t="s">
        <v>1135</v>
      </c>
      <c r="F684" t="s">
        <v>583</v>
      </c>
      <c r="G684" s="1">
        <v>38886</v>
      </c>
      <c r="I684" t="s">
        <v>199</v>
      </c>
      <c r="J684" t="s">
        <v>200</v>
      </c>
      <c r="K684" t="s">
        <v>260</v>
      </c>
      <c r="Q684" t="s">
        <v>212</v>
      </c>
      <c r="R684" t="str">
        <f>"КАЗАХСТАН, АКМОЛИНСКАЯ, СТЕПНОГОРСК, 33, 17"</f>
        <v>КАЗАХСТАН, АКМОЛИНСКАЯ, СТЕПНОГОРСК, 33, 17</v>
      </c>
      <c r="S684" t="str">
        <f>"ҚАЗАҚСТАН, АҚМОЛА, СТЕПНОГОР, 33, 17"</f>
        <v>ҚАЗАҚСТАН, АҚМОЛА, СТЕПНОГОР, 33, 17</v>
      </c>
      <c r="T684" t="str">
        <f>"33, 17"</f>
        <v>33, 17</v>
      </c>
      <c r="U684" t="str">
        <f>"33, 17"</f>
        <v>33, 17</v>
      </c>
      <c r="AC684" t="str">
        <f t="shared" si="29"/>
        <v>2022-08-25T00:00:00</v>
      </c>
      <c r="AD684" t="str">
        <f t="shared" si="31"/>
        <v>102</v>
      </c>
      <c r="AG684" t="s">
        <v>202</v>
      </c>
      <c r="AH684" t="str">
        <f t="shared" si="32"/>
        <v>ckool007@mail.ru</v>
      </c>
      <c r="AI684" t="s">
        <v>203</v>
      </c>
      <c r="AJ684" t="s">
        <v>795</v>
      </c>
      <c r="AK684" t="s">
        <v>205</v>
      </c>
      <c r="AL684" t="s">
        <v>206</v>
      </c>
      <c r="AN684" t="s">
        <v>207</v>
      </c>
      <c r="AO684">
        <v>1</v>
      </c>
      <c r="AP684" t="s">
        <v>208</v>
      </c>
      <c r="AQ684" t="s">
        <v>209</v>
      </c>
      <c r="AR684" t="s">
        <v>262</v>
      </c>
      <c r="AW684" t="s">
        <v>206</v>
      </c>
      <c r="AX684" t="s">
        <v>211</v>
      </c>
      <c r="AZ684" t="s">
        <v>209</v>
      </c>
      <c r="BI684" t="s">
        <v>212</v>
      </c>
      <c r="BJ684" t="s">
        <v>213</v>
      </c>
      <c r="BK684" t="s">
        <v>214</v>
      </c>
      <c r="BL684" t="s">
        <v>215</v>
      </c>
      <c r="BN684" t="s">
        <v>216</v>
      </c>
      <c r="BO684" t="s">
        <v>209</v>
      </c>
      <c r="BP684" t="s">
        <v>241</v>
      </c>
      <c r="BQ684">
        <v>4</v>
      </c>
      <c r="BS684" t="s">
        <v>219</v>
      </c>
      <c r="BT684" t="s">
        <v>220</v>
      </c>
      <c r="BU684" t="s">
        <v>206</v>
      </c>
      <c r="BX684" t="s">
        <v>221</v>
      </c>
      <c r="BY684" t="s">
        <v>221</v>
      </c>
      <c r="CA684" t="s">
        <v>263</v>
      </c>
      <c r="CB684" t="s">
        <v>223</v>
      </c>
      <c r="CC684" t="s">
        <v>209</v>
      </c>
      <c r="CE684" t="s">
        <v>831</v>
      </c>
      <c r="CF684" t="s">
        <v>816</v>
      </c>
      <c r="CG684" t="s">
        <v>832</v>
      </c>
      <c r="CH684" t="s">
        <v>1436</v>
      </c>
      <c r="CI684" t="s">
        <v>1817</v>
      </c>
      <c r="CJ684" t="s">
        <v>206</v>
      </c>
      <c r="CK684" t="s">
        <v>230</v>
      </c>
      <c r="CL684" t="s">
        <v>231</v>
      </c>
      <c r="CM684" t="s">
        <v>232</v>
      </c>
      <c r="CN684" t="s">
        <v>233</v>
      </c>
      <c r="CP684" t="s">
        <v>212</v>
      </c>
      <c r="CQ684" t="s">
        <v>212</v>
      </c>
      <c r="CR684" t="s">
        <v>212</v>
      </c>
      <c r="CS684" t="s">
        <v>212</v>
      </c>
      <c r="CY684" t="s">
        <v>212</v>
      </c>
      <c r="DB684" t="s">
        <v>234</v>
      </c>
      <c r="DE684" t="s">
        <v>212</v>
      </c>
      <c r="DF684" t="s">
        <v>212</v>
      </c>
      <c r="DG684" t="s">
        <v>235</v>
      </c>
      <c r="DH684" t="s">
        <v>212</v>
      </c>
      <c r="DJ684" t="s">
        <v>236</v>
      </c>
      <c r="DM684" t="s">
        <v>212</v>
      </c>
    </row>
    <row r="685" spans="1:117" x14ac:dyDescent="0.3">
      <c r="A685">
        <v>22844100</v>
      </c>
      <c r="B685">
        <v>311635</v>
      </c>
      <c r="C685" t="str">
        <f>"061011650108"</f>
        <v>061011650108</v>
      </c>
      <c r="D685" t="s">
        <v>1819</v>
      </c>
      <c r="E685" t="s">
        <v>1664</v>
      </c>
      <c r="F685" t="s">
        <v>555</v>
      </c>
      <c r="G685" s="1">
        <v>39001</v>
      </c>
      <c r="I685" t="s">
        <v>199</v>
      </c>
      <c r="J685" t="s">
        <v>200</v>
      </c>
      <c r="K685" t="s">
        <v>260</v>
      </c>
      <c r="Q685" t="s">
        <v>212</v>
      </c>
      <c r="R685" t="str">
        <f>"КАЗАХСТАН, АКМОЛИНСКАЯ, СТЕПНОГОРСК, 37, 49"</f>
        <v>КАЗАХСТАН, АКМОЛИНСКАЯ, СТЕПНОГОРСК, 37, 49</v>
      </c>
      <c r="S685" t="str">
        <f>"ҚАЗАҚСТАН, АҚМОЛА, СТЕПНОГОР, 37, 49"</f>
        <v>ҚАЗАҚСТАН, АҚМОЛА, СТЕПНОГОР, 37, 49</v>
      </c>
      <c r="T685" t="str">
        <f>"37, 49"</f>
        <v>37, 49</v>
      </c>
      <c r="U685" t="str">
        <f>"37, 49"</f>
        <v>37, 49</v>
      </c>
      <c r="AC685" t="str">
        <f t="shared" si="29"/>
        <v>2022-08-25T00:00:00</v>
      </c>
      <c r="AD685" t="str">
        <f t="shared" si="31"/>
        <v>102</v>
      </c>
      <c r="AG685" t="s">
        <v>202</v>
      </c>
      <c r="AH685" t="str">
        <f t="shared" si="32"/>
        <v>ckool007@mail.ru</v>
      </c>
      <c r="AI685" t="s">
        <v>274</v>
      </c>
      <c r="AJ685" t="s">
        <v>795</v>
      </c>
      <c r="AK685" t="s">
        <v>205</v>
      </c>
      <c r="AL685" t="s">
        <v>206</v>
      </c>
      <c r="AN685" t="s">
        <v>207</v>
      </c>
      <c r="AO685">
        <v>1</v>
      </c>
      <c r="AP685" t="s">
        <v>208</v>
      </c>
      <c r="AQ685" t="s">
        <v>209</v>
      </c>
      <c r="AR685" t="s">
        <v>210</v>
      </c>
      <c r="AW685" t="s">
        <v>206</v>
      </c>
      <c r="AX685" t="s">
        <v>211</v>
      </c>
      <c r="AZ685" t="s">
        <v>209</v>
      </c>
      <c r="BI685" t="s">
        <v>212</v>
      </c>
      <c r="BJ685" t="s">
        <v>213</v>
      </c>
      <c r="BK685" t="s">
        <v>214</v>
      </c>
      <c r="BL685" t="s">
        <v>215</v>
      </c>
      <c r="BN685" t="s">
        <v>216</v>
      </c>
      <c r="BO685" t="s">
        <v>209</v>
      </c>
      <c r="BP685" t="s">
        <v>241</v>
      </c>
      <c r="BQ685">
        <v>4</v>
      </c>
      <c r="BS685" t="s">
        <v>219</v>
      </c>
      <c r="BT685" t="s">
        <v>220</v>
      </c>
      <c r="BU685" t="s">
        <v>206</v>
      </c>
      <c r="BX685" t="s">
        <v>221</v>
      </c>
      <c r="BY685" t="s">
        <v>221</v>
      </c>
      <c r="CA685" t="s">
        <v>263</v>
      </c>
      <c r="CB685" t="s">
        <v>223</v>
      </c>
      <c r="CC685" t="s">
        <v>224</v>
      </c>
      <c r="CD685" t="s">
        <v>223</v>
      </c>
      <c r="CE685" t="s">
        <v>242</v>
      </c>
      <c r="CJ685" t="s">
        <v>206</v>
      </c>
      <c r="CK685" t="s">
        <v>230</v>
      </c>
      <c r="CL685" t="s">
        <v>231</v>
      </c>
      <c r="CM685" t="s">
        <v>232</v>
      </c>
      <c r="CN685" t="s">
        <v>233</v>
      </c>
      <c r="CP685" t="s">
        <v>212</v>
      </c>
      <c r="CQ685" t="s">
        <v>212</v>
      </c>
      <c r="CR685" t="s">
        <v>212</v>
      </c>
      <c r="CS685" t="s">
        <v>212</v>
      </c>
      <c r="CY685" t="s">
        <v>212</v>
      </c>
      <c r="DB685" t="s">
        <v>234</v>
      </c>
      <c r="DE685" t="s">
        <v>212</v>
      </c>
      <c r="DF685" t="s">
        <v>212</v>
      </c>
      <c r="DG685" t="s">
        <v>235</v>
      </c>
      <c r="DH685" t="s">
        <v>212</v>
      </c>
      <c r="DJ685" t="s">
        <v>236</v>
      </c>
      <c r="DM685" t="s">
        <v>212</v>
      </c>
    </row>
    <row r="686" spans="1:117" x14ac:dyDescent="0.3">
      <c r="A686">
        <v>22844101</v>
      </c>
      <c r="B686">
        <v>311664</v>
      </c>
      <c r="C686" t="str">
        <f>"060618551424"</f>
        <v>060618551424</v>
      </c>
      <c r="D686" t="s">
        <v>1820</v>
      </c>
      <c r="E686" t="s">
        <v>860</v>
      </c>
      <c r="F686" t="s">
        <v>1729</v>
      </c>
      <c r="G686" s="1">
        <v>38886</v>
      </c>
      <c r="I686" t="s">
        <v>240</v>
      </c>
      <c r="J686" t="s">
        <v>200</v>
      </c>
      <c r="K686" t="s">
        <v>260</v>
      </c>
      <c r="Q686" t="s">
        <v>212</v>
      </c>
      <c r="R686" t="str">
        <f>"КАЗАХСТАН, АКМОЛИНСКАЯ, СТЕПНОГОРСК, 22, 4"</f>
        <v>КАЗАХСТАН, АКМОЛИНСКАЯ, СТЕПНОГОРСК, 22, 4</v>
      </c>
      <c r="S686" t="str">
        <f>"ҚАЗАҚСТАН, АҚМОЛА, СТЕПНОГОР, 22, 4"</f>
        <v>ҚАЗАҚСТАН, АҚМОЛА, СТЕПНОГОР, 22, 4</v>
      </c>
      <c r="T686" t="str">
        <f>"22, 4"</f>
        <v>22, 4</v>
      </c>
      <c r="U686" t="str">
        <f>"22, 4"</f>
        <v>22, 4</v>
      </c>
      <c r="AC686" t="str">
        <f t="shared" si="29"/>
        <v>2022-08-25T00:00:00</v>
      </c>
      <c r="AD686" t="str">
        <f t="shared" si="31"/>
        <v>102</v>
      </c>
      <c r="AG686" t="s">
        <v>202</v>
      </c>
      <c r="AH686" t="str">
        <f t="shared" si="32"/>
        <v>ckool007@mail.ru</v>
      </c>
      <c r="AI686" t="s">
        <v>203</v>
      </c>
      <c r="AJ686" t="s">
        <v>795</v>
      </c>
      <c r="AK686" t="s">
        <v>205</v>
      </c>
      <c r="AL686" t="s">
        <v>206</v>
      </c>
      <c r="AN686" t="s">
        <v>207</v>
      </c>
      <c r="AO686">
        <v>1</v>
      </c>
      <c r="AP686" t="s">
        <v>208</v>
      </c>
      <c r="AQ686" t="s">
        <v>209</v>
      </c>
      <c r="AR686" t="s">
        <v>210</v>
      </c>
      <c r="AW686" t="s">
        <v>206</v>
      </c>
      <c r="AX686" t="s">
        <v>211</v>
      </c>
      <c r="AZ686" t="s">
        <v>209</v>
      </c>
      <c r="BI686" t="s">
        <v>212</v>
      </c>
      <c r="BJ686" t="s">
        <v>213</v>
      </c>
      <c r="BK686" t="s">
        <v>214</v>
      </c>
      <c r="BL686" t="s">
        <v>215</v>
      </c>
      <c r="BN686" t="s">
        <v>216</v>
      </c>
      <c r="BO686" t="s">
        <v>209</v>
      </c>
      <c r="BP686" t="s">
        <v>241</v>
      </c>
      <c r="BQ686">
        <v>4</v>
      </c>
      <c r="BS686" t="s">
        <v>219</v>
      </c>
      <c r="BT686" t="s">
        <v>220</v>
      </c>
      <c r="BU686" t="s">
        <v>206</v>
      </c>
      <c r="BX686" t="s">
        <v>221</v>
      </c>
      <c r="BY686" t="s">
        <v>221</v>
      </c>
      <c r="CA686" t="s">
        <v>317</v>
      </c>
      <c r="CB686" t="s">
        <v>223</v>
      </c>
      <c r="CC686" t="s">
        <v>222</v>
      </c>
      <c r="CD686" t="s">
        <v>223</v>
      </c>
      <c r="CE686" t="s">
        <v>242</v>
      </c>
      <c r="CJ686" t="s">
        <v>206</v>
      </c>
      <c r="CK686" t="s">
        <v>230</v>
      </c>
      <c r="CL686" t="s">
        <v>231</v>
      </c>
      <c r="CM686" t="s">
        <v>232</v>
      </c>
      <c r="CN686" t="s">
        <v>233</v>
      </c>
      <c r="CP686" t="s">
        <v>212</v>
      </c>
      <c r="CQ686" t="s">
        <v>212</v>
      </c>
      <c r="CR686" t="s">
        <v>212</v>
      </c>
      <c r="CS686" t="s">
        <v>212</v>
      </c>
      <c r="CY686" t="s">
        <v>212</v>
      </c>
      <c r="DB686" t="s">
        <v>234</v>
      </c>
      <c r="DE686" t="s">
        <v>212</v>
      </c>
      <c r="DF686" t="s">
        <v>212</v>
      </c>
      <c r="DG686" t="s">
        <v>235</v>
      </c>
      <c r="DH686" t="s">
        <v>212</v>
      </c>
      <c r="DJ686" t="s">
        <v>236</v>
      </c>
      <c r="DM686" t="s">
        <v>212</v>
      </c>
    </row>
    <row r="687" spans="1:117" x14ac:dyDescent="0.3">
      <c r="A687">
        <v>22844102</v>
      </c>
      <c r="B687">
        <v>311700</v>
      </c>
      <c r="C687" t="str">
        <f>"060207651614"</f>
        <v>060207651614</v>
      </c>
      <c r="D687" t="s">
        <v>1821</v>
      </c>
      <c r="E687" t="s">
        <v>347</v>
      </c>
      <c r="F687" t="s">
        <v>1822</v>
      </c>
      <c r="G687" s="1">
        <v>38755</v>
      </c>
      <c r="I687" t="s">
        <v>199</v>
      </c>
      <c r="J687" t="s">
        <v>200</v>
      </c>
      <c r="K687" t="s">
        <v>268</v>
      </c>
      <c r="Q687" t="s">
        <v>212</v>
      </c>
      <c r="R687" t="str">
        <f>"КАЗАХСТАН, АКМОЛИНСКАЯ, СТЕПНОГОРСК, 38, 31"</f>
        <v>КАЗАХСТАН, АКМОЛИНСКАЯ, СТЕПНОГОРСК, 38, 31</v>
      </c>
      <c r="S687" t="str">
        <f>"ҚАЗАҚСТАН, АҚМОЛА, СТЕПНОГОР, 38, 31"</f>
        <v>ҚАЗАҚСТАН, АҚМОЛА, СТЕПНОГОР, 38, 31</v>
      </c>
      <c r="T687" t="str">
        <f>"38, 31"</f>
        <v>38, 31</v>
      </c>
      <c r="U687" t="str">
        <f>"38, 31"</f>
        <v>38, 31</v>
      </c>
      <c r="AC687" t="str">
        <f t="shared" si="29"/>
        <v>2022-08-25T00:00:00</v>
      </c>
      <c r="AD687" t="str">
        <f t="shared" si="31"/>
        <v>102</v>
      </c>
      <c r="AG687" t="s">
        <v>202</v>
      </c>
      <c r="AH687" t="str">
        <f t="shared" si="32"/>
        <v>ckool007@mail.ru</v>
      </c>
      <c r="AI687" t="s">
        <v>203</v>
      </c>
      <c r="AJ687" t="s">
        <v>795</v>
      </c>
      <c r="AK687" t="s">
        <v>205</v>
      </c>
      <c r="AL687" t="s">
        <v>206</v>
      </c>
      <c r="AN687" t="s">
        <v>207</v>
      </c>
      <c r="AO687">
        <v>1</v>
      </c>
      <c r="AP687" t="s">
        <v>208</v>
      </c>
      <c r="AQ687" t="s">
        <v>209</v>
      </c>
      <c r="AR687" t="s">
        <v>210</v>
      </c>
      <c r="AW687" t="s">
        <v>206</v>
      </c>
      <c r="AX687" t="s">
        <v>211</v>
      </c>
      <c r="AZ687" t="s">
        <v>209</v>
      </c>
      <c r="BI687" t="s">
        <v>212</v>
      </c>
      <c r="BJ687" t="s">
        <v>213</v>
      </c>
      <c r="BK687" t="s">
        <v>214</v>
      </c>
      <c r="BL687" t="s">
        <v>215</v>
      </c>
      <c r="BN687" t="s">
        <v>216</v>
      </c>
      <c r="BO687" t="s">
        <v>209</v>
      </c>
      <c r="BP687" t="s">
        <v>241</v>
      </c>
      <c r="BQ687">
        <v>4</v>
      </c>
      <c r="BS687" t="s">
        <v>219</v>
      </c>
      <c r="BT687" t="s">
        <v>220</v>
      </c>
      <c r="BU687" t="s">
        <v>206</v>
      </c>
      <c r="BX687" t="s">
        <v>234</v>
      </c>
      <c r="BY687" t="s">
        <v>234</v>
      </c>
      <c r="CA687" t="s">
        <v>263</v>
      </c>
      <c r="CB687" t="s">
        <v>223</v>
      </c>
      <c r="CC687" t="s">
        <v>224</v>
      </c>
      <c r="CD687" t="s">
        <v>223</v>
      </c>
      <c r="CE687" t="s">
        <v>342</v>
      </c>
      <c r="CF687" t="s">
        <v>610</v>
      </c>
      <c r="CG687" t="s">
        <v>832</v>
      </c>
      <c r="CH687" t="s">
        <v>1436</v>
      </c>
      <c r="CI687" t="s">
        <v>1823</v>
      </c>
      <c r="CJ687" t="s">
        <v>206</v>
      </c>
      <c r="CK687" t="s">
        <v>230</v>
      </c>
      <c r="CL687" t="s">
        <v>231</v>
      </c>
      <c r="CM687" t="s">
        <v>232</v>
      </c>
      <c r="CN687" t="s">
        <v>233</v>
      </c>
      <c r="CP687" t="s">
        <v>212</v>
      </c>
      <c r="CQ687" t="s">
        <v>212</v>
      </c>
      <c r="CR687" t="s">
        <v>212</v>
      </c>
      <c r="CS687" t="s">
        <v>212</v>
      </c>
      <c r="CY687" t="s">
        <v>212</v>
      </c>
      <c r="DB687" t="s">
        <v>234</v>
      </c>
      <c r="DE687" t="s">
        <v>212</v>
      </c>
      <c r="DF687" t="s">
        <v>212</v>
      </c>
      <c r="DG687" t="s">
        <v>235</v>
      </c>
      <c r="DH687" t="s">
        <v>212</v>
      </c>
      <c r="DJ687" t="s">
        <v>236</v>
      </c>
      <c r="DM687" t="s">
        <v>212</v>
      </c>
    </row>
    <row r="688" spans="1:117" x14ac:dyDescent="0.3">
      <c r="A688">
        <v>22844103</v>
      </c>
      <c r="B688">
        <v>311743</v>
      </c>
      <c r="C688" t="str">
        <f>"060722650587"</f>
        <v>060722650587</v>
      </c>
      <c r="D688" t="s">
        <v>1824</v>
      </c>
      <c r="E688" t="s">
        <v>1425</v>
      </c>
      <c r="F688" t="s">
        <v>368</v>
      </c>
      <c r="G688" s="1">
        <v>38920</v>
      </c>
      <c r="I688" t="s">
        <v>199</v>
      </c>
      <c r="J688" t="s">
        <v>200</v>
      </c>
      <c r="K688" t="s">
        <v>260</v>
      </c>
      <c r="Q688" t="s">
        <v>212</v>
      </c>
      <c r="R688" t="str">
        <f>"КАЗАХСТАН, АКМОЛИНСКАЯ, СТЕПНОГОРСК, 37, 30"</f>
        <v>КАЗАХСТАН, АКМОЛИНСКАЯ, СТЕПНОГОРСК, 37, 30</v>
      </c>
      <c r="S688" t="str">
        <f>"ҚАЗАҚСТАН, АҚМОЛА, СТЕПНОГОР, 37, 30"</f>
        <v>ҚАЗАҚСТАН, АҚМОЛА, СТЕПНОГОР, 37, 30</v>
      </c>
      <c r="T688" t="str">
        <f>"37, 30"</f>
        <v>37, 30</v>
      </c>
      <c r="U688" t="str">
        <f>"37, 30"</f>
        <v>37, 30</v>
      </c>
      <c r="AC688" t="str">
        <f t="shared" si="29"/>
        <v>2022-08-25T00:00:00</v>
      </c>
      <c r="AD688" t="str">
        <f t="shared" si="31"/>
        <v>102</v>
      </c>
      <c r="AG688" t="s">
        <v>202</v>
      </c>
      <c r="AH688" t="str">
        <f t="shared" si="32"/>
        <v>ckool007@mail.ru</v>
      </c>
      <c r="AI688" t="s">
        <v>203</v>
      </c>
      <c r="AJ688" t="s">
        <v>795</v>
      </c>
      <c r="AK688" t="s">
        <v>205</v>
      </c>
      <c r="AL688" t="s">
        <v>206</v>
      </c>
      <c r="AN688" t="s">
        <v>207</v>
      </c>
      <c r="AO688">
        <v>1</v>
      </c>
      <c r="AP688" t="s">
        <v>208</v>
      </c>
      <c r="AQ688" t="s">
        <v>209</v>
      </c>
      <c r="AR688" t="s">
        <v>210</v>
      </c>
      <c r="AW688" t="s">
        <v>206</v>
      </c>
      <c r="AX688" t="s">
        <v>211</v>
      </c>
      <c r="AZ688" t="s">
        <v>209</v>
      </c>
      <c r="BI688" t="s">
        <v>212</v>
      </c>
      <c r="BJ688" t="s">
        <v>213</v>
      </c>
      <c r="BK688" t="s">
        <v>214</v>
      </c>
      <c r="BL688" t="s">
        <v>215</v>
      </c>
      <c r="BN688" t="s">
        <v>216</v>
      </c>
      <c r="BO688" t="s">
        <v>209</v>
      </c>
      <c r="BP688" t="s">
        <v>241</v>
      </c>
      <c r="BQ688">
        <v>4</v>
      </c>
      <c r="BS688" t="s">
        <v>219</v>
      </c>
      <c r="BT688" t="s">
        <v>220</v>
      </c>
      <c r="BU688" t="s">
        <v>206</v>
      </c>
      <c r="BX688" t="s">
        <v>221</v>
      </c>
      <c r="BY688" t="s">
        <v>221</v>
      </c>
      <c r="CA688" t="s">
        <v>317</v>
      </c>
      <c r="CB688" t="s">
        <v>223</v>
      </c>
      <c r="CC688" t="s">
        <v>209</v>
      </c>
      <c r="CE688" t="s">
        <v>242</v>
      </c>
      <c r="CJ688" t="s">
        <v>206</v>
      </c>
      <c r="CK688" t="s">
        <v>230</v>
      </c>
      <c r="CL688" t="s">
        <v>231</v>
      </c>
      <c r="CM688" t="s">
        <v>232</v>
      </c>
      <c r="CN688" t="s">
        <v>233</v>
      </c>
      <c r="CP688" t="s">
        <v>212</v>
      </c>
      <c r="CQ688" t="s">
        <v>212</v>
      </c>
      <c r="CR688" t="s">
        <v>212</v>
      </c>
      <c r="CS688" t="s">
        <v>212</v>
      </c>
      <c r="CY688" t="s">
        <v>212</v>
      </c>
      <c r="DB688" t="s">
        <v>234</v>
      </c>
      <c r="DE688" t="s">
        <v>212</v>
      </c>
      <c r="DF688" t="s">
        <v>212</v>
      </c>
      <c r="DG688" t="s">
        <v>235</v>
      </c>
      <c r="DH688" t="s">
        <v>212</v>
      </c>
      <c r="DJ688" t="s">
        <v>236</v>
      </c>
      <c r="DM688" t="s">
        <v>212</v>
      </c>
    </row>
    <row r="689" spans="1:119" x14ac:dyDescent="0.3">
      <c r="A689">
        <v>22844104</v>
      </c>
      <c r="B689">
        <v>311804</v>
      </c>
      <c r="C689" t="str">
        <f>"060710550694"</f>
        <v>060710550694</v>
      </c>
      <c r="D689" t="s">
        <v>1825</v>
      </c>
      <c r="E689" t="s">
        <v>508</v>
      </c>
      <c r="F689" t="s">
        <v>1826</v>
      </c>
      <c r="G689" s="1">
        <v>38908</v>
      </c>
      <c r="I689" t="s">
        <v>240</v>
      </c>
      <c r="J689" t="s">
        <v>200</v>
      </c>
      <c r="K689" t="s">
        <v>1336</v>
      </c>
      <c r="Q689" t="s">
        <v>212</v>
      </c>
      <c r="R689" t="str">
        <f>"КАЗАХСТАН, АКМОЛИНСКАЯ, СТЕПНОГОРСК, 24, 58"</f>
        <v>КАЗАХСТАН, АКМОЛИНСКАЯ, СТЕПНОГОРСК, 24, 58</v>
      </c>
      <c r="S689" t="str">
        <f>"ҚАЗАҚСТАН, АҚМОЛА, СТЕПНОГОР, 24, 58"</f>
        <v>ҚАЗАҚСТАН, АҚМОЛА, СТЕПНОГОР, 24, 58</v>
      </c>
      <c r="T689" t="str">
        <f>"24, 58"</f>
        <v>24, 58</v>
      </c>
      <c r="U689" t="str">
        <f>"24, 58"</f>
        <v>24, 58</v>
      </c>
      <c r="AC689" t="str">
        <f t="shared" si="29"/>
        <v>2022-08-25T00:00:00</v>
      </c>
      <c r="AD689" t="str">
        <f t="shared" si="31"/>
        <v>102</v>
      </c>
      <c r="AG689" t="s">
        <v>202</v>
      </c>
      <c r="AH689" t="str">
        <f t="shared" si="32"/>
        <v>ckool007@mail.ru</v>
      </c>
      <c r="AI689" t="s">
        <v>203</v>
      </c>
      <c r="AJ689" t="s">
        <v>795</v>
      </c>
      <c r="AK689" t="s">
        <v>205</v>
      </c>
      <c r="AL689" t="s">
        <v>206</v>
      </c>
      <c r="AN689" t="s">
        <v>207</v>
      </c>
      <c r="AO689">
        <v>1</v>
      </c>
      <c r="AP689" t="s">
        <v>208</v>
      </c>
      <c r="AQ689" t="s">
        <v>209</v>
      </c>
      <c r="AR689" t="s">
        <v>210</v>
      </c>
      <c r="AW689" t="s">
        <v>206</v>
      </c>
      <c r="AX689" t="s">
        <v>211</v>
      </c>
      <c r="AZ689" t="s">
        <v>209</v>
      </c>
      <c r="BI689" t="s">
        <v>212</v>
      </c>
      <c r="BJ689" t="s">
        <v>213</v>
      </c>
      <c r="BK689" t="s">
        <v>214</v>
      </c>
      <c r="BL689" t="s">
        <v>215</v>
      </c>
      <c r="BN689" t="s">
        <v>281</v>
      </c>
      <c r="BO689" t="s">
        <v>209</v>
      </c>
      <c r="BP689" t="s">
        <v>217</v>
      </c>
      <c r="BQ689" t="s">
        <v>378</v>
      </c>
      <c r="BS689" t="s">
        <v>219</v>
      </c>
      <c r="BT689" t="s">
        <v>220</v>
      </c>
      <c r="BU689" t="s">
        <v>206</v>
      </c>
      <c r="BX689" t="s">
        <v>234</v>
      </c>
      <c r="BY689" t="s">
        <v>234</v>
      </c>
      <c r="CA689" t="s">
        <v>256</v>
      </c>
      <c r="CB689" t="s">
        <v>223</v>
      </c>
      <c r="CC689" t="s">
        <v>222</v>
      </c>
      <c r="CD689" t="s">
        <v>223</v>
      </c>
      <c r="CE689" t="s">
        <v>831</v>
      </c>
      <c r="CF689" t="s">
        <v>816</v>
      </c>
      <c r="CG689" t="s">
        <v>392</v>
      </c>
      <c r="CH689" t="s">
        <v>1436</v>
      </c>
      <c r="CI689" t="s">
        <v>1827</v>
      </c>
      <c r="CJ689" t="s">
        <v>206</v>
      </c>
      <c r="CK689" t="s">
        <v>230</v>
      </c>
      <c r="CL689" t="s">
        <v>231</v>
      </c>
      <c r="CM689" t="s">
        <v>232</v>
      </c>
      <c r="CN689" t="s">
        <v>233</v>
      </c>
      <c r="CP689" t="s">
        <v>212</v>
      </c>
      <c r="CQ689" t="s">
        <v>212</v>
      </c>
      <c r="CR689" t="s">
        <v>212</v>
      </c>
      <c r="CS689" t="s">
        <v>212</v>
      </c>
      <c r="CY689" t="s">
        <v>212</v>
      </c>
      <c r="DB689" t="s">
        <v>234</v>
      </c>
      <c r="DE689" t="s">
        <v>212</v>
      </c>
      <c r="DF689" t="s">
        <v>212</v>
      </c>
      <c r="DG689" t="s">
        <v>235</v>
      </c>
      <c r="DH689" t="s">
        <v>212</v>
      </c>
      <c r="DJ689" t="s">
        <v>236</v>
      </c>
      <c r="DM689" t="s">
        <v>212</v>
      </c>
      <c r="DN689" t="s">
        <v>206</v>
      </c>
      <c r="DO689" t="s">
        <v>212</v>
      </c>
    </row>
    <row r="690" spans="1:119" x14ac:dyDescent="0.3">
      <c r="A690">
        <v>22844105</v>
      </c>
      <c r="B690">
        <v>311880</v>
      </c>
      <c r="C690" t="str">
        <f>"060118651829"</f>
        <v>060118651829</v>
      </c>
      <c r="D690" t="s">
        <v>1828</v>
      </c>
      <c r="E690" t="s">
        <v>1521</v>
      </c>
      <c r="F690" t="s">
        <v>406</v>
      </c>
      <c r="G690" s="1">
        <v>38735</v>
      </c>
      <c r="I690" t="s">
        <v>199</v>
      </c>
      <c r="J690" t="s">
        <v>721</v>
      </c>
      <c r="K690" t="s">
        <v>260</v>
      </c>
      <c r="L690" t="s">
        <v>212</v>
      </c>
      <c r="Q690" t="s">
        <v>212</v>
      </c>
      <c r="R690" t="str">
        <f>"КАЗАХСТАН, АКМОЛИНСКАЯ, СТЕПНОГОРСК, 19, 7"</f>
        <v>КАЗАХСТАН, АКМОЛИНСКАЯ, СТЕПНОГОРСК, 19, 7</v>
      </c>
      <c r="S690" t="str">
        <f>"ҚАЗАҚСТАН, АҚМОЛА, СТЕПНОГОР, 19, 7"</f>
        <v>ҚАЗАҚСТАН, АҚМОЛА, СТЕПНОГОР, 19, 7</v>
      </c>
      <c r="T690" t="str">
        <f>"19, 7"</f>
        <v>19, 7</v>
      </c>
      <c r="U690" t="str">
        <f>"19, 7"</f>
        <v>19, 7</v>
      </c>
      <c r="AC690" t="str">
        <f t="shared" si="29"/>
        <v>2022-08-25T00:00:00</v>
      </c>
      <c r="AD690" t="str">
        <f t="shared" si="31"/>
        <v>102</v>
      </c>
      <c r="AG690" t="s">
        <v>202</v>
      </c>
      <c r="AH690" t="str">
        <f t="shared" si="32"/>
        <v>ckool007@mail.ru</v>
      </c>
      <c r="AI690" t="s">
        <v>203</v>
      </c>
      <c r="AJ690" t="s">
        <v>795</v>
      </c>
      <c r="AK690" t="s">
        <v>205</v>
      </c>
      <c r="AL690" t="s">
        <v>206</v>
      </c>
      <c r="AN690" t="s">
        <v>207</v>
      </c>
      <c r="AO690">
        <v>1</v>
      </c>
      <c r="AP690" t="s">
        <v>208</v>
      </c>
      <c r="AQ690" t="s">
        <v>209</v>
      </c>
      <c r="AR690" t="s">
        <v>210</v>
      </c>
      <c r="AW690" t="s">
        <v>206</v>
      </c>
      <c r="AX690" t="s">
        <v>211</v>
      </c>
      <c r="AZ690" t="s">
        <v>209</v>
      </c>
      <c r="BI690" t="s">
        <v>212</v>
      </c>
      <c r="BJ690" t="s">
        <v>213</v>
      </c>
      <c r="BK690" t="s">
        <v>214</v>
      </c>
      <c r="BL690" t="s">
        <v>215</v>
      </c>
      <c r="BN690" t="s">
        <v>216</v>
      </c>
      <c r="BO690" t="s">
        <v>209</v>
      </c>
      <c r="BP690" t="s">
        <v>241</v>
      </c>
      <c r="BQ690">
        <v>4</v>
      </c>
      <c r="BS690" t="s">
        <v>219</v>
      </c>
      <c r="BT690" t="s">
        <v>220</v>
      </c>
      <c r="BU690" t="s">
        <v>206</v>
      </c>
      <c r="BX690" t="s">
        <v>221</v>
      </c>
      <c r="BY690" t="s">
        <v>221</v>
      </c>
      <c r="CA690" t="s">
        <v>256</v>
      </c>
      <c r="CB690" t="s">
        <v>223</v>
      </c>
      <c r="CC690" t="s">
        <v>209</v>
      </c>
      <c r="CE690" t="s">
        <v>242</v>
      </c>
      <c r="CJ690" t="s">
        <v>206</v>
      </c>
      <c r="CK690" t="s">
        <v>230</v>
      </c>
      <c r="CL690" t="s">
        <v>231</v>
      </c>
      <c r="CM690" t="s">
        <v>232</v>
      </c>
      <c r="CN690" t="s">
        <v>233</v>
      </c>
      <c r="CP690" t="s">
        <v>212</v>
      </c>
      <c r="CQ690" t="s">
        <v>212</v>
      </c>
      <c r="CR690" t="s">
        <v>212</v>
      </c>
      <c r="CS690" t="s">
        <v>212</v>
      </c>
      <c r="CY690" t="s">
        <v>212</v>
      </c>
      <c r="DB690" t="s">
        <v>234</v>
      </c>
      <c r="DE690" t="s">
        <v>212</v>
      </c>
      <c r="DF690" t="s">
        <v>212</v>
      </c>
      <c r="DG690" t="s">
        <v>235</v>
      </c>
      <c r="DH690" t="s">
        <v>212</v>
      </c>
      <c r="DJ690" t="s">
        <v>236</v>
      </c>
      <c r="DM690" t="s">
        <v>212</v>
      </c>
    </row>
    <row r="691" spans="1:119" x14ac:dyDescent="0.3">
      <c r="A691">
        <v>22844106</v>
      </c>
      <c r="B691">
        <v>311947</v>
      </c>
      <c r="C691" t="str">
        <f>"060925550029"</f>
        <v>060925550029</v>
      </c>
      <c r="D691" t="s">
        <v>1829</v>
      </c>
      <c r="E691" t="s">
        <v>888</v>
      </c>
      <c r="F691" t="s">
        <v>1830</v>
      </c>
      <c r="G691" s="1">
        <v>38985</v>
      </c>
      <c r="I691" t="s">
        <v>240</v>
      </c>
      <c r="J691" t="s">
        <v>200</v>
      </c>
      <c r="K691" t="s">
        <v>201</v>
      </c>
      <c r="Q691" t="s">
        <v>212</v>
      </c>
      <c r="R691" t="str">
        <f>"КАЗАХСТАН, АКМОЛИНСКАЯ, СТЕПНОГОРСК, 45, 74"</f>
        <v>КАЗАХСТАН, АКМОЛИНСКАЯ, СТЕПНОГОРСК, 45, 74</v>
      </c>
      <c r="S691" t="str">
        <f>"ҚАЗАҚСТАН, АҚМОЛА, СТЕПНОГОР, 45, 74"</f>
        <v>ҚАЗАҚСТАН, АҚМОЛА, СТЕПНОГОР, 45, 74</v>
      </c>
      <c r="T691" t="str">
        <f>"45, 74"</f>
        <v>45, 74</v>
      </c>
      <c r="U691" t="str">
        <f>"45, 74"</f>
        <v>45, 74</v>
      </c>
      <c r="AC691" t="str">
        <f t="shared" si="29"/>
        <v>2022-08-25T00:00:00</v>
      </c>
      <c r="AD691" t="str">
        <f t="shared" si="31"/>
        <v>102</v>
      </c>
      <c r="AG691" t="s">
        <v>202</v>
      </c>
      <c r="AH691" t="str">
        <f t="shared" si="32"/>
        <v>ckool007@mail.ru</v>
      </c>
      <c r="AI691" t="s">
        <v>203</v>
      </c>
      <c r="AJ691" t="s">
        <v>795</v>
      </c>
      <c r="AK691" t="s">
        <v>205</v>
      </c>
      <c r="AL691" t="s">
        <v>206</v>
      </c>
      <c r="AN691" t="s">
        <v>207</v>
      </c>
      <c r="AO691">
        <v>1</v>
      </c>
      <c r="AP691" t="s">
        <v>208</v>
      </c>
      <c r="AQ691" t="s">
        <v>209</v>
      </c>
      <c r="AR691" t="s">
        <v>210</v>
      </c>
      <c r="AW691" t="s">
        <v>206</v>
      </c>
      <c r="AX691" t="s">
        <v>211</v>
      </c>
      <c r="AZ691" t="s">
        <v>209</v>
      </c>
      <c r="BI691" t="s">
        <v>212</v>
      </c>
      <c r="BJ691" t="s">
        <v>213</v>
      </c>
      <c r="BK691" t="s">
        <v>214</v>
      </c>
      <c r="BL691" t="s">
        <v>215</v>
      </c>
      <c r="BN691" t="s">
        <v>216</v>
      </c>
      <c r="BO691" t="s">
        <v>209</v>
      </c>
      <c r="BP691" t="s">
        <v>241</v>
      </c>
      <c r="BQ691">
        <v>4</v>
      </c>
      <c r="BS691" t="s">
        <v>219</v>
      </c>
      <c r="BT691" t="s">
        <v>220</v>
      </c>
      <c r="BU691" t="s">
        <v>206</v>
      </c>
      <c r="BX691" t="s">
        <v>221</v>
      </c>
      <c r="BY691" t="s">
        <v>221</v>
      </c>
      <c r="CA691" t="s">
        <v>317</v>
      </c>
      <c r="CB691" t="s">
        <v>223</v>
      </c>
      <c r="CC691" t="s">
        <v>209</v>
      </c>
      <c r="CE691" t="s">
        <v>242</v>
      </c>
      <c r="CJ691" t="s">
        <v>206</v>
      </c>
      <c r="CK691" t="s">
        <v>230</v>
      </c>
      <c r="CL691" t="s">
        <v>231</v>
      </c>
      <c r="CM691" t="s">
        <v>232</v>
      </c>
      <c r="CN691" t="s">
        <v>233</v>
      </c>
      <c r="CP691" t="s">
        <v>212</v>
      </c>
      <c r="CQ691" t="s">
        <v>212</v>
      </c>
      <c r="CR691" t="s">
        <v>212</v>
      </c>
      <c r="CS691" t="s">
        <v>212</v>
      </c>
      <c r="CY691" t="s">
        <v>212</v>
      </c>
      <c r="DB691" t="s">
        <v>234</v>
      </c>
      <c r="DE691" t="s">
        <v>212</v>
      </c>
      <c r="DF691" t="s">
        <v>212</v>
      </c>
      <c r="DG691" t="s">
        <v>235</v>
      </c>
      <c r="DH691" t="s">
        <v>212</v>
      </c>
      <c r="DJ691" t="s">
        <v>236</v>
      </c>
      <c r="DM691" t="s">
        <v>212</v>
      </c>
    </row>
    <row r="692" spans="1:119" x14ac:dyDescent="0.3">
      <c r="A692">
        <v>22844107</v>
      </c>
      <c r="B692">
        <v>311996</v>
      </c>
      <c r="C692" t="str">
        <f>"070110551137"</f>
        <v>070110551137</v>
      </c>
      <c r="D692" t="s">
        <v>1831</v>
      </c>
      <c r="E692" t="s">
        <v>1832</v>
      </c>
      <c r="F692" t="s">
        <v>1833</v>
      </c>
      <c r="G692" s="1">
        <v>39092</v>
      </c>
      <c r="I692" t="s">
        <v>240</v>
      </c>
      <c r="J692" t="s">
        <v>200</v>
      </c>
      <c r="K692" t="s">
        <v>260</v>
      </c>
      <c r="Q692" t="s">
        <v>212</v>
      </c>
      <c r="R692" t="str">
        <f>"КАЗАХСТАН, АКМОЛИНСКАЯ, СТЕПНОГОРСК, 30, 123"</f>
        <v>КАЗАХСТАН, АКМОЛИНСКАЯ, СТЕПНОГОРСК, 30, 123</v>
      </c>
      <c r="S692" t="str">
        <f>"ҚАЗАҚСТАН, АҚМОЛА, СТЕПНОГОР, 30, 123"</f>
        <v>ҚАЗАҚСТАН, АҚМОЛА, СТЕПНОГОР, 30, 123</v>
      </c>
      <c r="T692" t="str">
        <f>"30, 123"</f>
        <v>30, 123</v>
      </c>
      <c r="U692" t="str">
        <f>"30, 123"</f>
        <v>30, 123</v>
      </c>
      <c r="AC692" t="str">
        <f t="shared" si="29"/>
        <v>2022-08-25T00:00:00</v>
      </c>
      <c r="AD692" t="str">
        <f t="shared" si="31"/>
        <v>102</v>
      </c>
      <c r="AG692" t="s">
        <v>202</v>
      </c>
      <c r="AH692" t="str">
        <f t="shared" si="32"/>
        <v>ckool007@mail.ru</v>
      </c>
      <c r="AI692" t="s">
        <v>203</v>
      </c>
      <c r="AJ692" t="s">
        <v>795</v>
      </c>
      <c r="AK692" t="s">
        <v>205</v>
      </c>
      <c r="AL692" t="s">
        <v>206</v>
      </c>
      <c r="AN692" t="s">
        <v>207</v>
      </c>
      <c r="AO692">
        <v>1</v>
      </c>
      <c r="AP692" t="s">
        <v>208</v>
      </c>
      <c r="AQ692" t="s">
        <v>209</v>
      </c>
      <c r="AR692" t="s">
        <v>210</v>
      </c>
      <c r="AW692" t="s">
        <v>206</v>
      </c>
      <c r="AX692" t="s">
        <v>211</v>
      </c>
      <c r="AZ692" t="s">
        <v>209</v>
      </c>
      <c r="BI692" t="s">
        <v>212</v>
      </c>
      <c r="BJ692" t="s">
        <v>213</v>
      </c>
      <c r="BK692" t="s">
        <v>214</v>
      </c>
      <c r="BL692" t="s">
        <v>215</v>
      </c>
      <c r="BN692" t="s">
        <v>216</v>
      </c>
      <c r="BO692" t="s">
        <v>209</v>
      </c>
      <c r="BP692" t="s">
        <v>241</v>
      </c>
      <c r="BQ692">
        <v>4</v>
      </c>
      <c r="BS692" t="s">
        <v>219</v>
      </c>
      <c r="BT692" t="s">
        <v>220</v>
      </c>
      <c r="BU692" t="s">
        <v>206</v>
      </c>
      <c r="BX692" t="s">
        <v>221</v>
      </c>
      <c r="BY692" t="s">
        <v>221</v>
      </c>
      <c r="CA692" t="s">
        <v>263</v>
      </c>
      <c r="CB692" t="s">
        <v>223</v>
      </c>
      <c r="CC692" t="s">
        <v>209</v>
      </c>
      <c r="CE692" t="s">
        <v>831</v>
      </c>
      <c r="CF692" t="s">
        <v>816</v>
      </c>
      <c r="CG692" t="s">
        <v>832</v>
      </c>
      <c r="CH692" t="s">
        <v>228</v>
      </c>
      <c r="CI692" t="s">
        <v>1834</v>
      </c>
      <c r="CJ692" t="s">
        <v>206</v>
      </c>
      <c r="CK692" t="s">
        <v>230</v>
      </c>
      <c r="CL692" t="s">
        <v>231</v>
      </c>
      <c r="CM692" t="s">
        <v>232</v>
      </c>
      <c r="CN692" t="s">
        <v>233</v>
      </c>
      <c r="CP692" t="s">
        <v>212</v>
      </c>
      <c r="CQ692" t="s">
        <v>212</v>
      </c>
      <c r="CR692" t="s">
        <v>212</v>
      </c>
      <c r="CS692" t="s">
        <v>212</v>
      </c>
      <c r="CY692" t="s">
        <v>212</v>
      </c>
      <c r="DB692" t="s">
        <v>234</v>
      </c>
      <c r="DE692" t="s">
        <v>212</v>
      </c>
      <c r="DF692" t="s">
        <v>212</v>
      </c>
      <c r="DG692" t="s">
        <v>235</v>
      </c>
      <c r="DH692" t="s">
        <v>212</v>
      </c>
      <c r="DJ692" t="s">
        <v>236</v>
      </c>
      <c r="DM692" t="s">
        <v>212</v>
      </c>
    </row>
    <row r="693" spans="1:119" x14ac:dyDescent="0.3">
      <c r="A693">
        <v>22844108</v>
      </c>
      <c r="B693">
        <v>312026</v>
      </c>
      <c r="C693" t="str">
        <f>"060528650413"</f>
        <v>060528650413</v>
      </c>
      <c r="D693" t="s">
        <v>1835</v>
      </c>
      <c r="E693" t="s">
        <v>1100</v>
      </c>
      <c r="F693" t="s">
        <v>700</v>
      </c>
      <c r="G693" s="1">
        <v>38865</v>
      </c>
      <c r="I693" t="s">
        <v>199</v>
      </c>
      <c r="J693" t="s">
        <v>200</v>
      </c>
      <c r="K693" t="s">
        <v>260</v>
      </c>
      <c r="Q693" t="s">
        <v>212</v>
      </c>
      <c r="R693" t="str">
        <f>"КАЗАХСТАН, АКМОЛИНСКАЯ, СТЕПНОГОРСК, 12, 88"</f>
        <v>КАЗАХСТАН, АКМОЛИНСКАЯ, СТЕПНОГОРСК, 12, 88</v>
      </c>
      <c r="S693" t="str">
        <f>"ҚАЗАҚСТАН, АҚМОЛА, СТЕПНОГОР, 12, 88"</f>
        <v>ҚАЗАҚСТАН, АҚМОЛА, СТЕПНОГОР, 12, 88</v>
      </c>
      <c r="T693" t="str">
        <f>"12, 88"</f>
        <v>12, 88</v>
      </c>
      <c r="U693" t="str">
        <f>"12, 88"</f>
        <v>12, 88</v>
      </c>
      <c r="AC693" t="str">
        <f t="shared" si="29"/>
        <v>2022-08-25T00:00:00</v>
      </c>
      <c r="AD693" t="str">
        <f t="shared" si="31"/>
        <v>102</v>
      </c>
      <c r="AG693" t="s">
        <v>202</v>
      </c>
      <c r="AH693" t="str">
        <f t="shared" si="32"/>
        <v>ckool007@mail.ru</v>
      </c>
      <c r="AI693" t="s">
        <v>203</v>
      </c>
      <c r="AJ693" t="s">
        <v>795</v>
      </c>
      <c r="AK693" t="s">
        <v>205</v>
      </c>
      <c r="AL693" t="s">
        <v>206</v>
      </c>
      <c r="AN693" t="s">
        <v>207</v>
      </c>
      <c r="AO693">
        <v>1</v>
      </c>
      <c r="AP693" t="s">
        <v>208</v>
      </c>
      <c r="AQ693" t="s">
        <v>209</v>
      </c>
      <c r="AR693" t="s">
        <v>210</v>
      </c>
      <c r="AW693" t="s">
        <v>206</v>
      </c>
      <c r="AX693" t="s">
        <v>211</v>
      </c>
      <c r="AZ693" t="s">
        <v>209</v>
      </c>
      <c r="BI693" t="s">
        <v>212</v>
      </c>
      <c r="BJ693" t="s">
        <v>213</v>
      </c>
      <c r="BK693" t="s">
        <v>214</v>
      </c>
      <c r="BL693" t="s">
        <v>215</v>
      </c>
      <c r="BN693" t="s">
        <v>216</v>
      </c>
      <c r="BO693" t="s">
        <v>209</v>
      </c>
      <c r="BP693" t="s">
        <v>241</v>
      </c>
      <c r="BQ693">
        <v>4</v>
      </c>
      <c r="BS693" t="s">
        <v>219</v>
      </c>
      <c r="BT693" t="s">
        <v>220</v>
      </c>
      <c r="BU693" t="s">
        <v>206</v>
      </c>
      <c r="BX693" t="s">
        <v>221</v>
      </c>
      <c r="BY693" t="s">
        <v>221</v>
      </c>
      <c r="CA693" t="s">
        <v>256</v>
      </c>
      <c r="CB693" t="s">
        <v>223</v>
      </c>
      <c r="CC693" t="s">
        <v>224</v>
      </c>
      <c r="CD693" t="s">
        <v>223</v>
      </c>
      <c r="CE693" t="s">
        <v>242</v>
      </c>
      <c r="CJ693" t="s">
        <v>206</v>
      </c>
      <c r="CK693" t="s">
        <v>230</v>
      </c>
      <c r="CL693" t="s">
        <v>231</v>
      </c>
      <c r="CM693" t="s">
        <v>232</v>
      </c>
      <c r="CN693" t="s">
        <v>233</v>
      </c>
      <c r="CP693" t="s">
        <v>212</v>
      </c>
      <c r="CQ693" t="s">
        <v>212</v>
      </c>
      <c r="CR693" t="s">
        <v>212</v>
      </c>
      <c r="CS693" t="s">
        <v>212</v>
      </c>
      <c r="CY693" t="s">
        <v>212</v>
      </c>
      <c r="DB693" t="s">
        <v>234</v>
      </c>
      <c r="DE693" t="s">
        <v>212</v>
      </c>
      <c r="DF693" t="s">
        <v>212</v>
      </c>
      <c r="DG693" t="s">
        <v>235</v>
      </c>
      <c r="DH693" t="s">
        <v>212</v>
      </c>
      <c r="DJ693" t="s">
        <v>236</v>
      </c>
      <c r="DM693" t="s">
        <v>212</v>
      </c>
    </row>
    <row r="694" spans="1:119" x14ac:dyDescent="0.3">
      <c r="A694">
        <v>22844109</v>
      </c>
      <c r="B694">
        <v>312194</v>
      </c>
      <c r="C694" t="str">
        <f>"060102651049"</f>
        <v>060102651049</v>
      </c>
      <c r="D694" t="s">
        <v>1836</v>
      </c>
      <c r="E694" t="s">
        <v>873</v>
      </c>
      <c r="F694" t="s">
        <v>1837</v>
      </c>
      <c r="G694" s="1">
        <v>38719</v>
      </c>
      <c r="I694" t="s">
        <v>199</v>
      </c>
      <c r="J694" t="s">
        <v>200</v>
      </c>
      <c r="K694" t="s">
        <v>201</v>
      </c>
      <c r="Q694" t="s">
        <v>212</v>
      </c>
      <c r="R694" t="str">
        <f>"КАЗАХСТАН, АКМОЛИНСКАЯ, СТЕПНОГОРСК, 17, 114"</f>
        <v>КАЗАХСТАН, АКМОЛИНСКАЯ, СТЕПНОГОРСК, 17, 114</v>
      </c>
      <c r="S694" t="str">
        <f>"ҚАЗАҚСТАН, АҚМОЛА, СТЕПНОГОР, 17, 114"</f>
        <v>ҚАЗАҚСТАН, АҚМОЛА, СТЕПНОГОР, 17, 114</v>
      </c>
      <c r="T694" t="str">
        <f>"17, 114"</f>
        <v>17, 114</v>
      </c>
      <c r="U694" t="str">
        <f>"17, 114"</f>
        <v>17, 114</v>
      </c>
      <c r="AC694" t="str">
        <f t="shared" si="29"/>
        <v>2022-08-25T00:00:00</v>
      </c>
      <c r="AD694" t="str">
        <f t="shared" si="31"/>
        <v>102</v>
      </c>
      <c r="AG694" t="s">
        <v>202</v>
      </c>
      <c r="AH694" t="str">
        <f t="shared" si="32"/>
        <v>ckool007@mail.ru</v>
      </c>
      <c r="AI694" t="s">
        <v>203</v>
      </c>
      <c r="AJ694" t="s">
        <v>795</v>
      </c>
      <c r="AK694" t="s">
        <v>205</v>
      </c>
      <c r="AL694" t="s">
        <v>206</v>
      </c>
      <c r="AN694" t="s">
        <v>207</v>
      </c>
      <c r="AO694">
        <v>1</v>
      </c>
      <c r="AP694" t="s">
        <v>208</v>
      </c>
      <c r="AQ694" t="s">
        <v>209</v>
      </c>
      <c r="AR694" t="s">
        <v>210</v>
      </c>
      <c r="AW694" t="s">
        <v>206</v>
      </c>
      <c r="AX694" t="s">
        <v>211</v>
      </c>
      <c r="AZ694" t="s">
        <v>209</v>
      </c>
      <c r="BI694" t="s">
        <v>212</v>
      </c>
      <c r="BJ694" t="s">
        <v>213</v>
      </c>
      <c r="BK694" t="s">
        <v>214</v>
      </c>
      <c r="BL694" t="s">
        <v>215</v>
      </c>
      <c r="BN694" t="s">
        <v>216</v>
      </c>
      <c r="BO694" t="s">
        <v>209</v>
      </c>
      <c r="BP694" t="s">
        <v>241</v>
      </c>
      <c r="BQ694">
        <v>4</v>
      </c>
      <c r="BS694" t="s">
        <v>219</v>
      </c>
      <c r="BT694" t="s">
        <v>220</v>
      </c>
      <c r="BU694" t="s">
        <v>206</v>
      </c>
      <c r="BX694" t="s">
        <v>221</v>
      </c>
      <c r="BY694" t="s">
        <v>221</v>
      </c>
      <c r="CA694" t="s">
        <v>263</v>
      </c>
      <c r="CB694" t="s">
        <v>223</v>
      </c>
      <c r="CC694" t="s">
        <v>209</v>
      </c>
      <c r="CE694" t="s">
        <v>242</v>
      </c>
      <c r="CJ694" t="s">
        <v>206</v>
      </c>
      <c r="CK694" t="s">
        <v>230</v>
      </c>
      <c r="CL694" t="s">
        <v>231</v>
      </c>
      <c r="CM694" t="s">
        <v>232</v>
      </c>
      <c r="CN694" t="s">
        <v>233</v>
      </c>
      <c r="CP694" t="s">
        <v>212</v>
      </c>
      <c r="CQ694" t="s">
        <v>212</v>
      </c>
      <c r="CR694" t="s">
        <v>212</v>
      </c>
      <c r="CS694" t="s">
        <v>212</v>
      </c>
      <c r="CY694" t="s">
        <v>212</v>
      </c>
      <c r="DB694" t="s">
        <v>234</v>
      </c>
      <c r="DE694" t="s">
        <v>212</v>
      </c>
      <c r="DF694" t="s">
        <v>212</v>
      </c>
      <c r="DG694" t="s">
        <v>235</v>
      </c>
      <c r="DH694" t="s">
        <v>212</v>
      </c>
      <c r="DJ694" t="s">
        <v>236</v>
      </c>
      <c r="DM694" t="s">
        <v>212</v>
      </c>
    </row>
    <row r="695" spans="1:119" x14ac:dyDescent="0.3">
      <c r="A695">
        <v>22844110</v>
      </c>
      <c r="B695">
        <v>312222</v>
      </c>
      <c r="C695" t="str">
        <f>"060908651556"</f>
        <v>060908651556</v>
      </c>
      <c r="D695" t="s">
        <v>1838</v>
      </c>
      <c r="E695" t="s">
        <v>347</v>
      </c>
      <c r="F695" t="s">
        <v>856</v>
      </c>
      <c r="G695" s="1">
        <v>38968</v>
      </c>
      <c r="I695" t="s">
        <v>199</v>
      </c>
      <c r="J695" t="s">
        <v>200</v>
      </c>
      <c r="K695" t="s">
        <v>260</v>
      </c>
      <c r="Q695" t="s">
        <v>212</v>
      </c>
      <c r="R695" t="str">
        <f>"КАЗАХСТАН, АКМОЛИНСКАЯ, СТЕПНОГОРСК, 26, 60"</f>
        <v>КАЗАХСТАН, АКМОЛИНСКАЯ, СТЕПНОГОРСК, 26, 60</v>
      </c>
      <c r="S695" t="str">
        <f>"ҚАЗАҚСТАН, АҚМОЛА, СТЕПНОГОР, 26, 60"</f>
        <v>ҚАЗАҚСТАН, АҚМОЛА, СТЕПНОГОР, 26, 60</v>
      </c>
      <c r="T695" t="str">
        <f>"26, 60"</f>
        <v>26, 60</v>
      </c>
      <c r="U695" t="str">
        <f>"26, 60"</f>
        <v>26, 60</v>
      </c>
      <c r="AC695" t="str">
        <f t="shared" si="29"/>
        <v>2022-08-25T00:00:00</v>
      </c>
      <c r="AD695" t="str">
        <f t="shared" si="31"/>
        <v>102</v>
      </c>
      <c r="AG695" t="s">
        <v>202</v>
      </c>
      <c r="AH695" t="str">
        <f t="shared" si="32"/>
        <v>ckool007@mail.ru</v>
      </c>
      <c r="AI695" t="s">
        <v>203</v>
      </c>
      <c r="AJ695" t="s">
        <v>795</v>
      </c>
      <c r="AK695" t="s">
        <v>205</v>
      </c>
      <c r="AL695" t="s">
        <v>206</v>
      </c>
      <c r="AN695" t="s">
        <v>207</v>
      </c>
      <c r="AO695">
        <v>1</v>
      </c>
      <c r="AP695" t="s">
        <v>208</v>
      </c>
      <c r="AQ695" t="s">
        <v>209</v>
      </c>
      <c r="AR695" t="s">
        <v>210</v>
      </c>
      <c r="AW695" t="s">
        <v>206</v>
      </c>
      <c r="AX695" t="s">
        <v>211</v>
      </c>
      <c r="AZ695" t="s">
        <v>209</v>
      </c>
      <c r="BI695" t="s">
        <v>212</v>
      </c>
      <c r="BJ695" t="s">
        <v>213</v>
      </c>
      <c r="BK695" t="s">
        <v>214</v>
      </c>
      <c r="BL695" t="s">
        <v>215</v>
      </c>
      <c r="BN695" t="s">
        <v>216</v>
      </c>
      <c r="BO695" t="s">
        <v>209</v>
      </c>
      <c r="BP695" t="s">
        <v>241</v>
      </c>
      <c r="BQ695">
        <v>4</v>
      </c>
      <c r="BS695" t="s">
        <v>219</v>
      </c>
      <c r="BT695" t="s">
        <v>220</v>
      </c>
      <c r="BU695" t="s">
        <v>206</v>
      </c>
      <c r="BX695" t="s">
        <v>221</v>
      </c>
      <c r="BY695" t="s">
        <v>221</v>
      </c>
      <c r="CA695" t="s">
        <v>222</v>
      </c>
      <c r="CB695" t="s">
        <v>223</v>
      </c>
      <c r="CC695" t="s">
        <v>209</v>
      </c>
      <c r="CE695" t="s">
        <v>242</v>
      </c>
      <c r="CJ695" t="s">
        <v>206</v>
      </c>
      <c r="CK695" t="s">
        <v>230</v>
      </c>
      <c r="CL695" t="s">
        <v>231</v>
      </c>
      <c r="CM695" t="s">
        <v>232</v>
      </c>
      <c r="CN695" t="s">
        <v>233</v>
      </c>
      <c r="CP695" t="s">
        <v>212</v>
      </c>
      <c r="CQ695" t="s">
        <v>212</v>
      </c>
      <c r="CR695" t="s">
        <v>212</v>
      </c>
      <c r="CS695" t="s">
        <v>212</v>
      </c>
      <c r="CY695" t="s">
        <v>212</v>
      </c>
      <c r="DB695" t="s">
        <v>234</v>
      </c>
      <c r="DE695" t="s">
        <v>212</v>
      </c>
      <c r="DF695" t="s">
        <v>212</v>
      </c>
      <c r="DG695" t="s">
        <v>235</v>
      </c>
      <c r="DH695" t="s">
        <v>212</v>
      </c>
      <c r="DJ695" t="s">
        <v>236</v>
      </c>
      <c r="DM695" t="s">
        <v>212</v>
      </c>
    </row>
    <row r="696" spans="1:119" x14ac:dyDescent="0.3">
      <c r="A696">
        <v>22844111</v>
      </c>
      <c r="B696">
        <v>312542</v>
      </c>
      <c r="C696" t="str">
        <f>"070210651434"</f>
        <v>070210651434</v>
      </c>
      <c r="D696" t="s">
        <v>1839</v>
      </c>
      <c r="E696" t="s">
        <v>1840</v>
      </c>
      <c r="F696" t="s">
        <v>1841</v>
      </c>
      <c r="G696" s="1">
        <v>39123</v>
      </c>
      <c r="I696" t="s">
        <v>199</v>
      </c>
      <c r="J696" t="s">
        <v>200</v>
      </c>
      <c r="K696" t="s">
        <v>260</v>
      </c>
      <c r="Q696" t="s">
        <v>212</v>
      </c>
      <c r="R696" t="str">
        <f>"КАЗАХСТАН, АКМОЛИНСКАЯ, СТЕПНОГОРСК, 10, 67"</f>
        <v>КАЗАХСТАН, АКМОЛИНСКАЯ, СТЕПНОГОРСК, 10, 67</v>
      </c>
      <c r="S696" t="str">
        <f>"ҚАЗАҚСТАН, АҚМОЛА, СТЕПНОГОР, 10, 67"</f>
        <v>ҚАЗАҚСТАН, АҚМОЛА, СТЕПНОГОР, 10, 67</v>
      </c>
      <c r="T696" t="str">
        <f>"10, 67"</f>
        <v>10, 67</v>
      </c>
      <c r="U696" t="str">
        <f>"10, 67"</f>
        <v>10, 67</v>
      </c>
      <c r="AC696" t="str">
        <f t="shared" si="29"/>
        <v>2022-08-25T00:00:00</v>
      </c>
      <c r="AD696" t="str">
        <f t="shared" si="31"/>
        <v>102</v>
      </c>
      <c r="AG696" t="s">
        <v>202</v>
      </c>
      <c r="AH696" t="str">
        <f t="shared" si="32"/>
        <v>ckool007@mail.ru</v>
      </c>
      <c r="AI696" t="s">
        <v>203</v>
      </c>
      <c r="AJ696" t="s">
        <v>795</v>
      </c>
      <c r="AK696" t="s">
        <v>205</v>
      </c>
      <c r="AL696" t="s">
        <v>206</v>
      </c>
      <c r="AN696" t="s">
        <v>207</v>
      </c>
      <c r="AO696">
        <v>1</v>
      </c>
      <c r="AP696" t="s">
        <v>208</v>
      </c>
      <c r="AQ696" t="s">
        <v>209</v>
      </c>
      <c r="AR696" t="s">
        <v>210</v>
      </c>
      <c r="AW696" t="s">
        <v>206</v>
      </c>
      <c r="AX696" t="s">
        <v>211</v>
      </c>
      <c r="AZ696" t="s">
        <v>209</v>
      </c>
      <c r="BI696" t="s">
        <v>212</v>
      </c>
      <c r="BJ696" t="s">
        <v>213</v>
      </c>
      <c r="BK696" t="s">
        <v>214</v>
      </c>
      <c r="BL696" t="s">
        <v>215</v>
      </c>
      <c r="BN696" t="s">
        <v>216</v>
      </c>
      <c r="BO696" t="s">
        <v>209</v>
      </c>
      <c r="BP696" t="s">
        <v>241</v>
      </c>
      <c r="BQ696">
        <v>4</v>
      </c>
      <c r="BS696" t="s">
        <v>219</v>
      </c>
      <c r="BT696" t="s">
        <v>220</v>
      </c>
      <c r="BU696" t="s">
        <v>206</v>
      </c>
      <c r="BX696" t="s">
        <v>221</v>
      </c>
      <c r="BY696" t="s">
        <v>221</v>
      </c>
      <c r="CA696" t="s">
        <v>263</v>
      </c>
      <c r="CB696" t="s">
        <v>223</v>
      </c>
      <c r="CC696" t="s">
        <v>224</v>
      </c>
      <c r="CD696" t="s">
        <v>223</v>
      </c>
      <c r="CE696" t="s">
        <v>242</v>
      </c>
      <c r="CJ696" t="s">
        <v>206</v>
      </c>
      <c r="CK696" t="s">
        <v>230</v>
      </c>
      <c r="CL696" t="s">
        <v>231</v>
      </c>
      <c r="CM696" t="s">
        <v>232</v>
      </c>
      <c r="CN696" t="s">
        <v>233</v>
      </c>
      <c r="CP696" t="s">
        <v>212</v>
      </c>
      <c r="CQ696" t="s">
        <v>212</v>
      </c>
      <c r="CR696" t="s">
        <v>212</v>
      </c>
      <c r="CS696" t="s">
        <v>212</v>
      </c>
      <c r="CY696" t="s">
        <v>212</v>
      </c>
      <c r="DB696" t="s">
        <v>234</v>
      </c>
      <c r="DE696" t="s">
        <v>212</v>
      </c>
      <c r="DF696" t="s">
        <v>212</v>
      </c>
      <c r="DG696" t="s">
        <v>235</v>
      </c>
      <c r="DH696" t="s">
        <v>212</v>
      </c>
      <c r="DJ696" t="s">
        <v>236</v>
      </c>
      <c r="DM696" t="s">
        <v>212</v>
      </c>
    </row>
    <row r="697" spans="1:119" x14ac:dyDescent="0.3">
      <c r="A697">
        <v>22844113</v>
      </c>
      <c r="B697">
        <v>312739</v>
      </c>
      <c r="C697" t="str">
        <f>"060928551638"</f>
        <v>060928551638</v>
      </c>
      <c r="D697" t="s">
        <v>1586</v>
      </c>
      <c r="E697" t="s">
        <v>793</v>
      </c>
      <c r="F697" t="s">
        <v>986</v>
      </c>
      <c r="G697" s="1">
        <v>38988</v>
      </c>
      <c r="I697" t="s">
        <v>240</v>
      </c>
      <c r="J697" t="s">
        <v>200</v>
      </c>
      <c r="K697" t="s">
        <v>260</v>
      </c>
      <c r="Q697" t="s">
        <v>212</v>
      </c>
      <c r="R697" t="str">
        <f>"КАЗАХСТАН, АКМОЛИНСКАЯ, СТЕПНОГОРСК, 80, 22"</f>
        <v>КАЗАХСТАН, АКМОЛИНСКАЯ, СТЕПНОГОРСК, 80, 22</v>
      </c>
      <c r="S697" t="str">
        <f>"ҚАЗАҚСТАН, АҚМОЛА, СТЕПНОГОР, 80, 22"</f>
        <v>ҚАЗАҚСТАН, АҚМОЛА, СТЕПНОГОР, 80, 22</v>
      </c>
      <c r="T697" t="str">
        <f>"80, 22"</f>
        <v>80, 22</v>
      </c>
      <c r="U697" t="str">
        <f>"80, 22"</f>
        <v>80, 22</v>
      </c>
      <c r="AC697" t="str">
        <f t="shared" si="29"/>
        <v>2022-08-25T00:00:00</v>
      </c>
      <c r="AD697" t="str">
        <f t="shared" si="31"/>
        <v>102</v>
      </c>
      <c r="AG697" t="s">
        <v>202</v>
      </c>
      <c r="AH697" t="str">
        <f t="shared" si="32"/>
        <v>ckool007@mail.ru</v>
      </c>
      <c r="AI697" t="s">
        <v>203</v>
      </c>
      <c r="AJ697" t="s">
        <v>795</v>
      </c>
      <c r="AK697" t="s">
        <v>205</v>
      </c>
      <c r="AL697" t="s">
        <v>206</v>
      </c>
      <c r="AN697" t="s">
        <v>207</v>
      </c>
      <c r="AO697">
        <v>1</v>
      </c>
      <c r="AP697" t="s">
        <v>208</v>
      </c>
      <c r="AQ697" t="s">
        <v>209</v>
      </c>
      <c r="AR697" t="s">
        <v>210</v>
      </c>
      <c r="AW697" t="s">
        <v>206</v>
      </c>
      <c r="AX697" t="s">
        <v>211</v>
      </c>
      <c r="AZ697" t="s">
        <v>209</v>
      </c>
      <c r="BI697" t="s">
        <v>212</v>
      </c>
      <c r="BJ697" t="s">
        <v>213</v>
      </c>
      <c r="BK697" t="s">
        <v>214</v>
      </c>
      <c r="BL697" t="s">
        <v>215</v>
      </c>
      <c r="BN697" t="s">
        <v>216</v>
      </c>
      <c r="BO697" t="s">
        <v>209</v>
      </c>
      <c r="BP697" t="s">
        <v>241</v>
      </c>
      <c r="BQ697">
        <v>4</v>
      </c>
      <c r="BS697" t="s">
        <v>219</v>
      </c>
      <c r="BT697" t="s">
        <v>220</v>
      </c>
      <c r="BU697" t="s">
        <v>206</v>
      </c>
      <c r="BX697" t="s">
        <v>221</v>
      </c>
      <c r="BY697" t="s">
        <v>221</v>
      </c>
      <c r="CA697" t="s">
        <v>287</v>
      </c>
      <c r="CC697" t="s">
        <v>209</v>
      </c>
      <c r="CE697" t="s">
        <v>242</v>
      </c>
      <c r="CJ697" t="s">
        <v>206</v>
      </c>
      <c r="CK697" t="s">
        <v>230</v>
      </c>
      <c r="CL697" t="s">
        <v>231</v>
      </c>
      <c r="CM697" t="s">
        <v>232</v>
      </c>
      <c r="CN697" t="s">
        <v>233</v>
      </c>
      <c r="CP697" t="s">
        <v>212</v>
      </c>
      <c r="CQ697" t="s">
        <v>212</v>
      </c>
      <c r="CR697" t="s">
        <v>212</v>
      </c>
      <c r="CS697" t="s">
        <v>212</v>
      </c>
      <c r="CY697" t="s">
        <v>212</v>
      </c>
      <c r="DB697" t="s">
        <v>234</v>
      </c>
      <c r="DE697" t="s">
        <v>212</v>
      </c>
      <c r="DF697" t="s">
        <v>212</v>
      </c>
      <c r="DG697" t="s">
        <v>235</v>
      </c>
      <c r="DH697" t="s">
        <v>212</v>
      </c>
      <c r="DJ697" t="s">
        <v>236</v>
      </c>
      <c r="DM697" t="s">
        <v>212</v>
      </c>
    </row>
    <row r="698" spans="1:119" x14ac:dyDescent="0.3">
      <c r="A698">
        <v>22844114</v>
      </c>
      <c r="B698">
        <v>322599</v>
      </c>
      <c r="C698" t="str">
        <f>"070812550254"</f>
        <v>070812550254</v>
      </c>
      <c r="D698" t="s">
        <v>1842</v>
      </c>
      <c r="E698" t="s">
        <v>1843</v>
      </c>
      <c r="F698" t="s">
        <v>1844</v>
      </c>
      <c r="G698" s="1">
        <v>39306</v>
      </c>
      <c r="I698" t="s">
        <v>240</v>
      </c>
      <c r="J698" t="s">
        <v>200</v>
      </c>
      <c r="K698" t="s">
        <v>201</v>
      </c>
      <c r="Q698" t="s">
        <v>212</v>
      </c>
      <c r="R698" t="str">
        <f>"КАЗАХСТАН, АКМОЛИНСКАЯ, СТЕПНОГОРСК, 18, 109"</f>
        <v>КАЗАХСТАН, АКМОЛИНСКАЯ, СТЕПНОГОРСК, 18, 109</v>
      </c>
      <c r="S698" t="str">
        <f>"ҚАЗАҚСТАН, АҚМОЛА, СТЕПНОГОР, 18, 109"</f>
        <v>ҚАЗАҚСТАН, АҚМОЛА, СТЕПНОГОР, 18, 109</v>
      </c>
      <c r="T698" t="str">
        <f>"18, 109"</f>
        <v>18, 109</v>
      </c>
      <c r="U698" t="str">
        <f>"18, 109"</f>
        <v>18, 109</v>
      </c>
      <c r="AC698" t="str">
        <f t="shared" si="29"/>
        <v>2022-08-25T00:00:00</v>
      </c>
      <c r="AD698" t="str">
        <f t="shared" si="31"/>
        <v>102</v>
      </c>
      <c r="AG698" t="s">
        <v>202</v>
      </c>
      <c r="AH698" t="str">
        <f t="shared" si="32"/>
        <v>ckool007@mail.ru</v>
      </c>
      <c r="AI698" t="s">
        <v>203</v>
      </c>
      <c r="AJ698" t="s">
        <v>795</v>
      </c>
      <c r="AK698" t="s">
        <v>205</v>
      </c>
      <c r="AL698" t="s">
        <v>206</v>
      </c>
      <c r="AN698" t="s">
        <v>207</v>
      </c>
      <c r="AO698">
        <v>1</v>
      </c>
      <c r="AP698" t="s">
        <v>208</v>
      </c>
      <c r="AQ698" t="s">
        <v>209</v>
      </c>
      <c r="AR698" t="s">
        <v>210</v>
      </c>
      <c r="AW698" t="s">
        <v>206</v>
      </c>
      <c r="AX698" t="s">
        <v>211</v>
      </c>
      <c r="AZ698" t="s">
        <v>209</v>
      </c>
      <c r="BI698" t="s">
        <v>212</v>
      </c>
      <c r="BJ698" t="s">
        <v>213</v>
      </c>
      <c r="BK698" t="s">
        <v>214</v>
      </c>
      <c r="BL698" t="s">
        <v>215</v>
      </c>
      <c r="BN698" t="s">
        <v>216</v>
      </c>
      <c r="BO698" t="s">
        <v>209</v>
      </c>
      <c r="BP698" t="s">
        <v>241</v>
      </c>
      <c r="BQ698">
        <v>5</v>
      </c>
      <c r="BS698" t="s">
        <v>219</v>
      </c>
      <c r="BT698" t="s">
        <v>220</v>
      </c>
      <c r="BU698" t="s">
        <v>206</v>
      </c>
      <c r="BX698" t="s">
        <v>221</v>
      </c>
      <c r="BY698" t="s">
        <v>221</v>
      </c>
      <c r="CA698" t="s">
        <v>249</v>
      </c>
      <c r="CB698" t="s">
        <v>223</v>
      </c>
      <c r="CC698" t="s">
        <v>209</v>
      </c>
      <c r="CE698" t="s">
        <v>242</v>
      </c>
      <c r="CJ698" t="s">
        <v>206</v>
      </c>
      <c r="CK698" t="s">
        <v>230</v>
      </c>
      <c r="CL698" t="s">
        <v>231</v>
      </c>
      <c r="CM698" t="s">
        <v>232</v>
      </c>
      <c r="CN698" t="s">
        <v>233</v>
      </c>
      <c r="CP698" t="s">
        <v>212</v>
      </c>
      <c r="CQ698" t="s">
        <v>212</v>
      </c>
      <c r="CR698" t="s">
        <v>212</v>
      </c>
      <c r="CS698" t="s">
        <v>212</v>
      </c>
      <c r="CY698" t="s">
        <v>212</v>
      </c>
      <c r="DB698" t="s">
        <v>234</v>
      </c>
      <c r="DE698" t="s">
        <v>212</v>
      </c>
      <c r="DF698" t="s">
        <v>212</v>
      </c>
      <c r="DG698" t="s">
        <v>235</v>
      </c>
      <c r="DH698" t="s">
        <v>212</v>
      </c>
      <c r="DJ698" t="s">
        <v>236</v>
      </c>
      <c r="DM698" t="s">
        <v>206</v>
      </c>
    </row>
    <row r="699" spans="1:119" x14ac:dyDescent="0.3">
      <c r="A699">
        <v>22844115</v>
      </c>
      <c r="B699">
        <v>323994</v>
      </c>
      <c r="C699" t="str">
        <f>"060327551393"</f>
        <v>060327551393</v>
      </c>
      <c r="D699" t="s">
        <v>1845</v>
      </c>
      <c r="E699" t="s">
        <v>1846</v>
      </c>
      <c r="F699" t="s">
        <v>1847</v>
      </c>
      <c r="G699" s="1">
        <v>38803</v>
      </c>
      <c r="I699" t="s">
        <v>240</v>
      </c>
      <c r="J699" t="s">
        <v>200</v>
      </c>
      <c r="K699" t="s">
        <v>201</v>
      </c>
      <c r="Q699" t="s">
        <v>212</v>
      </c>
      <c r="R699" t="str">
        <f>"КАЗАХСТАН, АКМОЛИНСКАЯ, СТЕПНОГОРСК, 83А"</f>
        <v>КАЗАХСТАН, АКМОЛИНСКАЯ, СТЕПНОГОРСК, 83А</v>
      </c>
      <c r="S699" t="str">
        <f>"ҚАЗАҚСТАН, АҚМОЛА, СТЕПНОГОР, 83А"</f>
        <v>ҚАЗАҚСТАН, АҚМОЛА, СТЕПНОГОР, 83А</v>
      </c>
      <c r="T699" t="str">
        <f>"83А"</f>
        <v>83А</v>
      </c>
      <c r="U699" t="str">
        <f>"83А"</f>
        <v>83А</v>
      </c>
      <c r="AC699" t="str">
        <f t="shared" si="29"/>
        <v>2022-08-25T00:00:00</v>
      </c>
      <c r="AD699" t="str">
        <f t="shared" si="31"/>
        <v>102</v>
      </c>
      <c r="AG699" t="s">
        <v>202</v>
      </c>
      <c r="AH699" t="str">
        <f t="shared" si="32"/>
        <v>ckool007@mail.ru</v>
      </c>
      <c r="AI699" t="s">
        <v>299</v>
      </c>
      <c r="AJ699" t="s">
        <v>795</v>
      </c>
      <c r="AK699" t="s">
        <v>205</v>
      </c>
      <c r="AL699" t="s">
        <v>206</v>
      </c>
      <c r="AN699" t="s">
        <v>207</v>
      </c>
      <c r="AO699">
        <v>1</v>
      </c>
      <c r="AP699" t="s">
        <v>208</v>
      </c>
      <c r="AQ699" t="s">
        <v>209</v>
      </c>
      <c r="AR699" t="s">
        <v>210</v>
      </c>
      <c r="AW699" t="s">
        <v>206</v>
      </c>
      <c r="AX699" t="s">
        <v>211</v>
      </c>
      <c r="AZ699" t="s">
        <v>209</v>
      </c>
      <c r="BI699" t="s">
        <v>212</v>
      </c>
      <c r="BJ699" t="s">
        <v>213</v>
      </c>
      <c r="BK699" t="s">
        <v>214</v>
      </c>
      <c r="BL699" t="s">
        <v>215</v>
      </c>
      <c r="BN699" t="s">
        <v>216</v>
      </c>
      <c r="BO699" t="s">
        <v>209</v>
      </c>
      <c r="BP699" t="s">
        <v>241</v>
      </c>
      <c r="BQ699">
        <v>4</v>
      </c>
      <c r="BS699" t="s">
        <v>219</v>
      </c>
      <c r="BT699" t="s">
        <v>220</v>
      </c>
      <c r="BU699" t="s">
        <v>206</v>
      </c>
      <c r="BX699" t="s">
        <v>221</v>
      </c>
      <c r="BY699" t="s">
        <v>221</v>
      </c>
      <c r="CA699" t="s">
        <v>263</v>
      </c>
      <c r="CB699" t="s">
        <v>223</v>
      </c>
      <c r="CC699" t="s">
        <v>209</v>
      </c>
      <c r="CE699" t="s">
        <v>242</v>
      </c>
      <c r="CJ699" t="s">
        <v>206</v>
      </c>
      <c r="CK699" t="s">
        <v>230</v>
      </c>
      <c r="CL699" t="s">
        <v>231</v>
      </c>
      <c r="CM699" t="s">
        <v>232</v>
      </c>
      <c r="CN699" t="s">
        <v>233</v>
      </c>
      <c r="CP699" t="s">
        <v>212</v>
      </c>
      <c r="CQ699" t="s">
        <v>212</v>
      </c>
      <c r="CR699" t="s">
        <v>212</v>
      </c>
      <c r="CS699" t="s">
        <v>212</v>
      </c>
      <c r="CY699" t="s">
        <v>212</v>
      </c>
      <c r="DB699" t="s">
        <v>234</v>
      </c>
      <c r="DE699" t="s">
        <v>212</v>
      </c>
      <c r="DF699" t="s">
        <v>212</v>
      </c>
      <c r="DG699" t="s">
        <v>235</v>
      </c>
      <c r="DH699" t="s">
        <v>212</v>
      </c>
      <c r="DJ699" t="s">
        <v>236</v>
      </c>
      <c r="DM699" t="s">
        <v>206</v>
      </c>
    </row>
    <row r="700" spans="1:119" x14ac:dyDescent="0.3">
      <c r="A700">
        <v>22844117</v>
      </c>
      <c r="B700">
        <v>166615</v>
      </c>
      <c r="C700" t="str">
        <f>"060617650477"</f>
        <v>060617650477</v>
      </c>
      <c r="D700" t="s">
        <v>1848</v>
      </c>
      <c r="E700" t="s">
        <v>347</v>
      </c>
      <c r="F700" t="s">
        <v>1849</v>
      </c>
      <c r="G700" s="1">
        <v>38885</v>
      </c>
      <c r="I700" t="s">
        <v>199</v>
      </c>
      <c r="J700" t="s">
        <v>200</v>
      </c>
      <c r="K700" t="s">
        <v>260</v>
      </c>
      <c r="Q700" t="s">
        <v>212</v>
      </c>
      <c r="R700" t="str">
        <f>"КАЗАХСТАН, АКМОЛИНСКАЯ, СТЕПНОГОРСК, 13, 76"</f>
        <v>КАЗАХСТАН, АКМОЛИНСКАЯ, СТЕПНОГОРСК, 13, 76</v>
      </c>
      <c r="S700" t="str">
        <f>"ҚАЗАҚСТАН, АҚМОЛА, СТЕПНОГОР, 13, 76"</f>
        <v>ҚАЗАҚСТАН, АҚМОЛА, СТЕПНОГОР, 13, 76</v>
      </c>
      <c r="T700" t="str">
        <f>"13, 76"</f>
        <v>13, 76</v>
      </c>
      <c r="U700" t="str">
        <f>"13, 76"</f>
        <v>13, 76</v>
      </c>
      <c r="AC700" t="str">
        <f t="shared" si="29"/>
        <v>2022-08-25T00:00:00</v>
      </c>
      <c r="AD700" t="str">
        <f t="shared" si="31"/>
        <v>102</v>
      </c>
      <c r="AG700" t="s">
        <v>333</v>
      </c>
      <c r="AH700" t="str">
        <f t="shared" si="32"/>
        <v>ckool007@mail.ru</v>
      </c>
      <c r="AI700" t="s">
        <v>269</v>
      </c>
      <c r="AJ700" t="s">
        <v>795</v>
      </c>
      <c r="AK700" t="s">
        <v>205</v>
      </c>
      <c r="AL700" t="s">
        <v>206</v>
      </c>
      <c r="AN700" t="s">
        <v>207</v>
      </c>
      <c r="AO700">
        <v>1</v>
      </c>
      <c r="AP700" t="s">
        <v>208</v>
      </c>
      <c r="AQ700" t="s">
        <v>209</v>
      </c>
      <c r="AR700" t="s">
        <v>210</v>
      </c>
      <c r="AW700" t="s">
        <v>206</v>
      </c>
      <c r="AX700" t="s">
        <v>211</v>
      </c>
      <c r="AZ700" t="s">
        <v>209</v>
      </c>
      <c r="BI700" t="s">
        <v>212</v>
      </c>
      <c r="BJ700" t="s">
        <v>213</v>
      </c>
      <c r="BK700" t="s">
        <v>214</v>
      </c>
      <c r="BL700" t="s">
        <v>215</v>
      </c>
      <c r="BN700" t="s">
        <v>216</v>
      </c>
      <c r="BO700" t="s">
        <v>209</v>
      </c>
      <c r="BP700" t="s">
        <v>241</v>
      </c>
      <c r="BQ700">
        <v>4</v>
      </c>
      <c r="BS700" t="s">
        <v>219</v>
      </c>
      <c r="BT700" t="s">
        <v>220</v>
      </c>
      <c r="BU700" t="s">
        <v>206</v>
      </c>
      <c r="BX700" t="s">
        <v>221</v>
      </c>
      <c r="BY700" t="s">
        <v>221</v>
      </c>
      <c r="CA700" t="s">
        <v>222</v>
      </c>
      <c r="CB700" t="s">
        <v>223</v>
      </c>
      <c r="CC700" t="s">
        <v>209</v>
      </c>
      <c r="CE700" t="s">
        <v>242</v>
      </c>
      <c r="CJ700" t="s">
        <v>206</v>
      </c>
      <c r="CK700" t="s">
        <v>230</v>
      </c>
      <c r="CL700" t="s">
        <v>231</v>
      </c>
      <c r="CM700" t="s">
        <v>232</v>
      </c>
      <c r="CN700" t="s">
        <v>233</v>
      </c>
      <c r="CP700" t="s">
        <v>212</v>
      </c>
      <c r="CQ700" t="s">
        <v>212</v>
      </c>
      <c r="CR700" t="s">
        <v>212</v>
      </c>
      <c r="CS700" t="s">
        <v>212</v>
      </c>
      <c r="CY700" t="s">
        <v>212</v>
      </c>
      <c r="DB700" t="s">
        <v>234</v>
      </c>
      <c r="DE700" t="s">
        <v>212</v>
      </c>
      <c r="DF700" t="s">
        <v>212</v>
      </c>
      <c r="DG700" t="s">
        <v>235</v>
      </c>
      <c r="DH700" t="s">
        <v>212</v>
      </c>
      <c r="DJ700" t="s">
        <v>236</v>
      </c>
      <c r="DM700" t="s">
        <v>212</v>
      </c>
    </row>
    <row r="701" spans="1:119" x14ac:dyDescent="0.3">
      <c r="A701">
        <v>22844118</v>
      </c>
      <c r="B701">
        <v>173440</v>
      </c>
      <c r="C701" t="str">
        <f>"060716650702"</f>
        <v>060716650702</v>
      </c>
      <c r="D701" t="s">
        <v>536</v>
      </c>
      <c r="E701" t="s">
        <v>1850</v>
      </c>
      <c r="F701" t="s">
        <v>1851</v>
      </c>
      <c r="G701" s="1">
        <v>38914</v>
      </c>
      <c r="I701" t="s">
        <v>199</v>
      </c>
      <c r="J701" t="s">
        <v>200</v>
      </c>
      <c r="K701" t="s">
        <v>201</v>
      </c>
      <c r="Q701" t="s">
        <v>212</v>
      </c>
      <c r="R701" t="str">
        <f>"КАЗАХСТАН, АКМОЛИНСКАЯ, СТЕПНОГОРСК, 6"</f>
        <v>КАЗАХСТАН, АКМОЛИНСКАЯ, СТЕПНОГОРСК, 6</v>
      </c>
      <c r="S701" t="str">
        <f>"ҚАЗАҚСТАН, АҚМОЛА, СТЕПНОГОР, 6"</f>
        <v>ҚАЗАҚСТАН, АҚМОЛА, СТЕПНОГОР, 6</v>
      </c>
      <c r="T701" t="str">
        <f>"6"</f>
        <v>6</v>
      </c>
      <c r="U701" t="str">
        <f>"6"</f>
        <v>6</v>
      </c>
      <c r="AC701" t="str">
        <f t="shared" si="29"/>
        <v>2022-08-25T00:00:00</v>
      </c>
      <c r="AD701" t="str">
        <f t="shared" si="31"/>
        <v>102</v>
      </c>
      <c r="AE701" t="str">
        <f>"2023-09-01T17:39:52"</f>
        <v>2023-09-01T17:39:52</v>
      </c>
      <c r="AF701" t="str">
        <f>"2024-05-25T17:39:52"</f>
        <v>2024-05-25T17:39:52</v>
      </c>
      <c r="AG701" t="s">
        <v>202</v>
      </c>
      <c r="AH701" t="str">
        <f>"school2.step@mail.ru"</f>
        <v>school2.step@mail.ru</v>
      </c>
      <c r="AI701" t="s">
        <v>269</v>
      </c>
      <c r="AJ701" t="s">
        <v>795</v>
      </c>
      <c r="AK701" t="s">
        <v>205</v>
      </c>
      <c r="AL701" t="s">
        <v>206</v>
      </c>
      <c r="AN701" t="s">
        <v>207</v>
      </c>
      <c r="AO701">
        <v>1</v>
      </c>
      <c r="AP701" t="s">
        <v>208</v>
      </c>
      <c r="AQ701" t="s">
        <v>209</v>
      </c>
      <c r="AR701" t="s">
        <v>210</v>
      </c>
      <c r="AW701" t="s">
        <v>206</v>
      </c>
      <c r="AX701" t="s">
        <v>211</v>
      </c>
      <c r="AZ701" t="s">
        <v>209</v>
      </c>
      <c r="BI701" t="s">
        <v>212</v>
      </c>
      <c r="BJ701" t="s">
        <v>213</v>
      </c>
      <c r="BK701" t="s">
        <v>214</v>
      </c>
      <c r="BL701" t="s">
        <v>357</v>
      </c>
      <c r="BN701" t="s">
        <v>216</v>
      </c>
      <c r="BO701" t="s">
        <v>209</v>
      </c>
      <c r="BP701" t="s">
        <v>217</v>
      </c>
      <c r="BQ701" t="s">
        <v>1537</v>
      </c>
      <c r="BS701" t="s">
        <v>219</v>
      </c>
      <c r="BT701" t="s">
        <v>220</v>
      </c>
      <c r="BU701" t="s">
        <v>206</v>
      </c>
      <c r="BX701" t="s">
        <v>221</v>
      </c>
      <c r="BY701" t="s">
        <v>221</v>
      </c>
      <c r="CA701" t="s">
        <v>249</v>
      </c>
      <c r="CB701" t="s">
        <v>223</v>
      </c>
      <c r="CC701" t="s">
        <v>209</v>
      </c>
      <c r="CE701" t="s">
        <v>225</v>
      </c>
      <c r="CF701" t="s">
        <v>226</v>
      </c>
      <c r="CG701" t="s">
        <v>227</v>
      </c>
      <c r="CH701" t="s">
        <v>228</v>
      </c>
      <c r="CI701" t="s">
        <v>1852</v>
      </c>
      <c r="CJ701" t="s">
        <v>206</v>
      </c>
      <c r="CK701" t="s">
        <v>230</v>
      </c>
      <c r="CL701" t="s">
        <v>231</v>
      </c>
      <c r="CM701" t="s">
        <v>232</v>
      </c>
      <c r="CN701" t="s">
        <v>233</v>
      </c>
      <c r="CP701" t="s">
        <v>212</v>
      </c>
      <c r="CQ701" t="s">
        <v>212</v>
      </c>
      <c r="CR701" t="s">
        <v>212</v>
      </c>
      <c r="CS701" t="s">
        <v>212</v>
      </c>
      <c r="CY701" t="s">
        <v>212</v>
      </c>
      <c r="DB701" t="s">
        <v>234</v>
      </c>
      <c r="DE701" t="s">
        <v>212</v>
      </c>
      <c r="DF701" t="s">
        <v>212</v>
      </c>
      <c r="DG701" t="s">
        <v>235</v>
      </c>
      <c r="DH701" t="s">
        <v>212</v>
      </c>
      <c r="DJ701" t="s">
        <v>421</v>
      </c>
      <c r="DK701" t="s">
        <v>422</v>
      </c>
      <c r="DL701" t="s">
        <v>423</v>
      </c>
      <c r="DM701" t="s">
        <v>206</v>
      </c>
    </row>
    <row r="702" spans="1:119" x14ac:dyDescent="0.3">
      <c r="A702">
        <v>22861169</v>
      </c>
      <c r="B702">
        <v>311454</v>
      </c>
      <c r="C702" t="str">
        <f>"060715551283"</f>
        <v>060715551283</v>
      </c>
      <c r="D702" t="s">
        <v>1853</v>
      </c>
      <c r="E702" t="s">
        <v>828</v>
      </c>
      <c r="F702" t="s">
        <v>794</v>
      </c>
      <c r="G702" s="1">
        <v>38913</v>
      </c>
      <c r="I702" t="s">
        <v>240</v>
      </c>
      <c r="J702" t="s">
        <v>200</v>
      </c>
      <c r="K702" t="s">
        <v>260</v>
      </c>
      <c r="Q702" t="s">
        <v>212</v>
      </c>
      <c r="R702" t="str">
        <f>"КАЗАХСТАН, АКМОЛИНСКАЯ, СТЕПНОГОРСК, 11, 21"</f>
        <v>КАЗАХСТАН, АКМОЛИНСКАЯ, СТЕПНОГОРСК, 11, 21</v>
      </c>
      <c r="S702" t="str">
        <f>"ҚАЗАҚСТАН, АҚМОЛА, СТЕПНОГОР, 11, 21"</f>
        <v>ҚАЗАҚСТАН, АҚМОЛА, СТЕПНОГОР, 11, 21</v>
      </c>
      <c r="T702" t="str">
        <f>"11, 21"</f>
        <v>11, 21</v>
      </c>
      <c r="U702" t="str">
        <f>"11, 21"</f>
        <v>11, 21</v>
      </c>
      <c r="AC702" t="str">
        <f t="shared" si="29"/>
        <v>2022-08-25T00:00:00</v>
      </c>
      <c r="AD702" t="str">
        <f t="shared" si="31"/>
        <v>102</v>
      </c>
      <c r="AG702" t="s">
        <v>202</v>
      </c>
      <c r="AH702" t="str">
        <f>"ckool007@mail.ru"</f>
        <v>ckool007@mail.ru</v>
      </c>
      <c r="AI702" t="s">
        <v>203</v>
      </c>
      <c r="AJ702" t="s">
        <v>795</v>
      </c>
      <c r="AK702" t="s">
        <v>205</v>
      </c>
      <c r="AL702" t="s">
        <v>206</v>
      </c>
      <c r="AN702" t="s">
        <v>207</v>
      </c>
      <c r="AO702">
        <v>1</v>
      </c>
      <c r="AP702" t="s">
        <v>208</v>
      </c>
      <c r="AQ702" t="s">
        <v>209</v>
      </c>
      <c r="AR702" t="s">
        <v>210</v>
      </c>
      <c r="AW702" t="s">
        <v>206</v>
      </c>
      <c r="AX702" t="s">
        <v>211</v>
      </c>
      <c r="AZ702" t="s">
        <v>209</v>
      </c>
      <c r="BI702" t="s">
        <v>212</v>
      </c>
      <c r="BJ702" t="s">
        <v>213</v>
      </c>
      <c r="BK702" t="s">
        <v>214</v>
      </c>
      <c r="BL702" t="s">
        <v>215</v>
      </c>
      <c r="BN702" t="s">
        <v>281</v>
      </c>
      <c r="BO702" t="s">
        <v>209</v>
      </c>
      <c r="BP702" t="s">
        <v>217</v>
      </c>
      <c r="BQ702" t="s">
        <v>378</v>
      </c>
      <c r="BS702" t="s">
        <v>219</v>
      </c>
      <c r="BT702" t="s">
        <v>220</v>
      </c>
      <c r="BU702" t="s">
        <v>206</v>
      </c>
      <c r="BX702" t="s">
        <v>221</v>
      </c>
      <c r="BY702" t="s">
        <v>221</v>
      </c>
      <c r="CA702" t="s">
        <v>263</v>
      </c>
      <c r="CB702" t="s">
        <v>223</v>
      </c>
      <c r="CC702" t="s">
        <v>209</v>
      </c>
      <c r="CE702" t="s">
        <v>242</v>
      </c>
      <c r="CJ702" t="s">
        <v>206</v>
      </c>
      <c r="CK702" t="s">
        <v>230</v>
      </c>
      <c r="CL702" t="s">
        <v>231</v>
      </c>
      <c r="CM702" t="s">
        <v>232</v>
      </c>
      <c r="CN702" t="s">
        <v>233</v>
      </c>
      <c r="CP702" t="s">
        <v>212</v>
      </c>
      <c r="CQ702" t="s">
        <v>212</v>
      </c>
      <c r="CR702" t="s">
        <v>212</v>
      </c>
      <c r="CS702" t="s">
        <v>212</v>
      </c>
      <c r="CY702" t="s">
        <v>212</v>
      </c>
      <c r="DB702" t="s">
        <v>234</v>
      </c>
      <c r="DE702" t="s">
        <v>212</v>
      </c>
      <c r="DF702" t="s">
        <v>212</v>
      </c>
      <c r="DG702" t="s">
        <v>235</v>
      </c>
      <c r="DH702" t="s">
        <v>212</v>
      </c>
      <c r="DJ702" t="s">
        <v>236</v>
      </c>
      <c r="DM702" t="s">
        <v>212</v>
      </c>
      <c r="DN702" t="s">
        <v>206</v>
      </c>
      <c r="DO702" t="s">
        <v>212</v>
      </c>
    </row>
    <row r="703" spans="1:119" x14ac:dyDescent="0.3">
      <c r="A703">
        <v>22877769</v>
      </c>
      <c r="B703">
        <v>840927</v>
      </c>
      <c r="C703" t="str">
        <f>"160302501867"</f>
        <v>160302501867</v>
      </c>
      <c r="D703" t="s">
        <v>1854</v>
      </c>
      <c r="E703" t="s">
        <v>985</v>
      </c>
      <c r="F703" t="s">
        <v>521</v>
      </c>
      <c r="G703" s="1">
        <v>42431</v>
      </c>
      <c r="I703" t="s">
        <v>240</v>
      </c>
      <c r="J703" t="s">
        <v>200</v>
      </c>
      <c r="K703" t="s">
        <v>260</v>
      </c>
      <c r="R703" t="str">
        <f>"КАЗАХСТАН, АКМОЛИНСКАЯ, СТЕПНОГОРСК, 22, 13"</f>
        <v>КАЗАХСТАН, АКМОЛИНСКАЯ, СТЕПНОГОРСК, 22, 13</v>
      </c>
      <c r="S703" t="str">
        <f>"ҚАЗАҚСТАН, АҚМОЛА, СТЕПНОГОР, 22, 13"</f>
        <v>ҚАЗАҚСТАН, АҚМОЛА, СТЕПНОГОР, 22, 13</v>
      </c>
      <c r="T703" t="str">
        <f>"22, 13"</f>
        <v>22, 13</v>
      </c>
      <c r="U703" t="str">
        <f>"22, 13"</f>
        <v>22, 13</v>
      </c>
      <c r="AC703" t="str">
        <f t="shared" si="29"/>
        <v>2022-08-25T00:00:00</v>
      </c>
      <c r="AD703" t="str">
        <f t="shared" ref="AD703:AD709" si="33">"120"</f>
        <v>120</v>
      </c>
      <c r="AE703" t="str">
        <f>"2023-09-01T14:13:45"</f>
        <v>2023-09-01T14:13:45</v>
      </c>
      <c r="AF703" t="str">
        <f>"2024-05-25T14:13:45"</f>
        <v>2024-05-25T14:13:45</v>
      </c>
      <c r="AG703" t="s">
        <v>202</v>
      </c>
      <c r="AI703" t="s">
        <v>299</v>
      </c>
      <c r="AJ703" t="s">
        <v>570</v>
      </c>
      <c r="AK703" t="s">
        <v>261</v>
      </c>
      <c r="AL703" t="s">
        <v>206</v>
      </c>
      <c r="AN703" t="s">
        <v>207</v>
      </c>
      <c r="AO703">
        <v>2</v>
      </c>
      <c r="AP703" t="s">
        <v>208</v>
      </c>
      <c r="AQ703" t="s">
        <v>209</v>
      </c>
      <c r="AR703" t="s">
        <v>502</v>
      </c>
      <c r="AW703" t="s">
        <v>212</v>
      </c>
      <c r="AZ703" t="s">
        <v>209</v>
      </c>
      <c r="BI703" t="s">
        <v>212</v>
      </c>
      <c r="BJ703" t="s">
        <v>213</v>
      </c>
      <c r="BK703" t="s">
        <v>214</v>
      </c>
      <c r="BL703" t="s">
        <v>357</v>
      </c>
      <c r="BN703" t="s">
        <v>216</v>
      </c>
      <c r="BO703" t="s">
        <v>209</v>
      </c>
      <c r="BP703" t="s">
        <v>241</v>
      </c>
      <c r="BQ703">
        <v>4</v>
      </c>
      <c r="BS703" t="s">
        <v>220</v>
      </c>
      <c r="BU703" t="s">
        <v>212</v>
      </c>
      <c r="BZ703" t="s">
        <v>571</v>
      </c>
      <c r="CA703" t="s">
        <v>287</v>
      </c>
      <c r="CC703" t="s">
        <v>301</v>
      </c>
      <c r="CD703" t="s">
        <v>223</v>
      </c>
      <c r="CE703" t="s">
        <v>242</v>
      </c>
      <c r="CJ703" t="s">
        <v>206</v>
      </c>
      <c r="CK703" t="s">
        <v>230</v>
      </c>
      <c r="CL703" t="s">
        <v>231</v>
      </c>
      <c r="CM703" t="s">
        <v>232</v>
      </c>
      <c r="CN703" t="s">
        <v>233</v>
      </c>
      <c r="CP703" t="s">
        <v>212</v>
      </c>
      <c r="CQ703" t="s">
        <v>212</v>
      </c>
      <c r="CR703" t="s">
        <v>212</v>
      </c>
      <c r="CS703" t="s">
        <v>212</v>
      </c>
      <c r="CY703" t="s">
        <v>212</v>
      </c>
      <c r="DB703" t="s">
        <v>234</v>
      </c>
      <c r="DE703" t="s">
        <v>212</v>
      </c>
      <c r="DF703" t="s">
        <v>212</v>
      </c>
      <c r="DG703" t="s">
        <v>235</v>
      </c>
      <c r="DH703" t="s">
        <v>212</v>
      </c>
      <c r="DJ703" t="s">
        <v>236</v>
      </c>
      <c r="DM703" t="s">
        <v>212</v>
      </c>
    </row>
    <row r="704" spans="1:119" x14ac:dyDescent="0.3">
      <c r="A704">
        <v>22877792</v>
      </c>
      <c r="B704">
        <v>921797</v>
      </c>
      <c r="C704" t="str">
        <f>"150916501102"</f>
        <v>150916501102</v>
      </c>
      <c r="D704" t="s">
        <v>1855</v>
      </c>
      <c r="E704" t="s">
        <v>402</v>
      </c>
      <c r="F704" t="s">
        <v>521</v>
      </c>
      <c r="G704" s="1">
        <v>42263</v>
      </c>
      <c r="I704" t="s">
        <v>240</v>
      </c>
      <c r="J704" t="s">
        <v>200</v>
      </c>
      <c r="K704" t="s">
        <v>260</v>
      </c>
      <c r="Q704" t="s">
        <v>212</v>
      </c>
      <c r="R704" t="str">
        <f>"КАЗАХСТАН, АКМОЛИНСКАЯ, СТЕПНОГОРСК, 10, 30"</f>
        <v>КАЗАХСТАН, АКМОЛИНСКАЯ, СТЕПНОГОРСК, 10, 30</v>
      </c>
      <c r="S704" t="str">
        <f>"ҚАЗАҚСТАН, АҚМОЛА, СТЕПНОГОР, 10, 30"</f>
        <v>ҚАЗАҚСТАН, АҚМОЛА, СТЕПНОГОР, 10, 30</v>
      </c>
      <c r="T704" t="str">
        <f>"10, 30"</f>
        <v>10, 30</v>
      </c>
      <c r="U704" t="str">
        <f>"10, 30"</f>
        <v>10, 30</v>
      </c>
      <c r="AC704" t="str">
        <f t="shared" si="29"/>
        <v>2022-08-25T00:00:00</v>
      </c>
      <c r="AD704" t="str">
        <f t="shared" si="33"/>
        <v>120</v>
      </c>
      <c r="AG704" t="s">
        <v>202</v>
      </c>
      <c r="AI704" t="s">
        <v>299</v>
      </c>
      <c r="AJ704" t="s">
        <v>570</v>
      </c>
      <c r="AK704" t="s">
        <v>261</v>
      </c>
      <c r="AL704" t="s">
        <v>206</v>
      </c>
      <c r="AN704" t="s">
        <v>207</v>
      </c>
      <c r="AO704">
        <v>2</v>
      </c>
      <c r="AP704" t="s">
        <v>208</v>
      </c>
      <c r="AQ704" t="s">
        <v>209</v>
      </c>
      <c r="AR704" t="s">
        <v>502</v>
      </c>
      <c r="AW704" t="s">
        <v>212</v>
      </c>
      <c r="AZ704" t="s">
        <v>209</v>
      </c>
      <c r="BI704" t="s">
        <v>212</v>
      </c>
      <c r="BJ704" t="s">
        <v>213</v>
      </c>
      <c r="BK704" t="s">
        <v>214</v>
      </c>
      <c r="BL704" t="s">
        <v>357</v>
      </c>
      <c r="BN704" t="s">
        <v>216</v>
      </c>
      <c r="BO704" t="s">
        <v>209</v>
      </c>
      <c r="BP704" t="s">
        <v>241</v>
      </c>
      <c r="BQ704">
        <v>4</v>
      </c>
      <c r="BS704" t="s">
        <v>220</v>
      </c>
      <c r="BU704" t="s">
        <v>212</v>
      </c>
      <c r="BZ704" t="s">
        <v>571</v>
      </c>
      <c r="CA704" t="s">
        <v>287</v>
      </c>
      <c r="CC704" t="s">
        <v>209</v>
      </c>
      <c r="CE704" t="s">
        <v>242</v>
      </c>
      <c r="CJ704" t="s">
        <v>206</v>
      </c>
      <c r="CK704" t="s">
        <v>230</v>
      </c>
      <c r="CL704" t="s">
        <v>231</v>
      </c>
      <c r="CM704" t="s">
        <v>232</v>
      </c>
      <c r="CN704" t="s">
        <v>233</v>
      </c>
      <c r="CP704" t="s">
        <v>212</v>
      </c>
      <c r="CQ704" t="s">
        <v>212</v>
      </c>
      <c r="CR704" t="s">
        <v>212</v>
      </c>
      <c r="CS704" t="s">
        <v>212</v>
      </c>
      <c r="CY704" t="s">
        <v>212</v>
      </c>
      <c r="DB704" t="s">
        <v>234</v>
      </c>
      <c r="DE704" t="s">
        <v>212</v>
      </c>
      <c r="DF704" t="s">
        <v>212</v>
      </c>
      <c r="DG704" t="s">
        <v>235</v>
      </c>
      <c r="DH704" t="s">
        <v>212</v>
      </c>
      <c r="DJ704" t="s">
        <v>236</v>
      </c>
      <c r="DM704" t="s">
        <v>212</v>
      </c>
    </row>
    <row r="705" spans="1:184" x14ac:dyDescent="0.3">
      <c r="A705">
        <v>22877855</v>
      </c>
      <c r="B705">
        <v>7306151</v>
      </c>
      <c r="C705" t="str">
        <f>"150616500256"</f>
        <v>150616500256</v>
      </c>
      <c r="D705" t="s">
        <v>1856</v>
      </c>
      <c r="E705" t="s">
        <v>614</v>
      </c>
      <c r="F705" t="s">
        <v>634</v>
      </c>
      <c r="G705" s="1">
        <v>42171</v>
      </c>
      <c r="I705" t="s">
        <v>240</v>
      </c>
      <c r="J705" t="s">
        <v>200</v>
      </c>
      <c r="K705" t="s">
        <v>201</v>
      </c>
      <c r="R705" t="str">
        <f>"КАЗАХСТАН, АКМОЛИНСКАЯ, СТЕПНОГОРСК, 33, 76"</f>
        <v>КАЗАХСТАН, АКМОЛИНСКАЯ, СТЕПНОГОРСК, 33, 76</v>
      </c>
      <c r="S705" t="str">
        <f>"ҚАЗАҚСТАН, АҚМОЛА, СТЕПНОГОР, 33, 76"</f>
        <v>ҚАЗАҚСТАН, АҚМОЛА, СТЕПНОГОР, 33, 76</v>
      </c>
      <c r="T705" t="str">
        <f>"33, 76"</f>
        <v>33, 76</v>
      </c>
      <c r="U705" t="str">
        <f>"33, 76"</f>
        <v>33, 76</v>
      </c>
      <c r="AC705" t="str">
        <f t="shared" si="29"/>
        <v>2022-08-25T00:00:00</v>
      </c>
      <c r="AD705" t="str">
        <f t="shared" si="33"/>
        <v>120</v>
      </c>
      <c r="AG705" t="s">
        <v>202</v>
      </c>
      <c r="AI705" t="s">
        <v>299</v>
      </c>
      <c r="AJ705" t="s">
        <v>570</v>
      </c>
      <c r="AK705" t="s">
        <v>261</v>
      </c>
      <c r="AL705" t="s">
        <v>206</v>
      </c>
      <c r="AN705" t="s">
        <v>207</v>
      </c>
      <c r="AO705">
        <v>2</v>
      </c>
      <c r="AP705" t="s">
        <v>208</v>
      </c>
      <c r="AQ705" t="s">
        <v>209</v>
      </c>
      <c r="AR705" t="s">
        <v>502</v>
      </c>
      <c r="AW705" t="s">
        <v>212</v>
      </c>
      <c r="AZ705" t="s">
        <v>209</v>
      </c>
      <c r="BI705" t="s">
        <v>212</v>
      </c>
      <c r="BJ705" t="s">
        <v>213</v>
      </c>
      <c r="BK705" t="s">
        <v>214</v>
      </c>
      <c r="BL705" t="s">
        <v>357</v>
      </c>
      <c r="BN705" t="s">
        <v>216</v>
      </c>
      <c r="BO705" t="s">
        <v>209</v>
      </c>
      <c r="BP705" t="s">
        <v>241</v>
      </c>
      <c r="BQ705">
        <v>4</v>
      </c>
      <c r="BS705" t="s">
        <v>220</v>
      </c>
      <c r="BU705" t="s">
        <v>212</v>
      </c>
      <c r="BZ705" t="s">
        <v>571</v>
      </c>
      <c r="CA705" t="s">
        <v>287</v>
      </c>
      <c r="CC705" t="s">
        <v>301</v>
      </c>
      <c r="CD705" t="s">
        <v>223</v>
      </c>
      <c r="CE705" t="s">
        <v>242</v>
      </c>
      <c r="CJ705" t="s">
        <v>206</v>
      </c>
      <c r="CK705" t="s">
        <v>230</v>
      </c>
      <c r="CL705" t="s">
        <v>231</v>
      </c>
      <c r="CM705" t="s">
        <v>232</v>
      </c>
      <c r="CN705" t="s">
        <v>233</v>
      </c>
      <c r="CP705" t="s">
        <v>212</v>
      </c>
      <c r="CQ705" t="s">
        <v>212</v>
      </c>
      <c r="CR705" t="s">
        <v>212</v>
      </c>
      <c r="CS705" t="s">
        <v>212</v>
      </c>
      <c r="CY705" t="s">
        <v>212</v>
      </c>
      <c r="DB705" t="s">
        <v>234</v>
      </c>
      <c r="DE705" t="s">
        <v>212</v>
      </c>
      <c r="DF705" t="s">
        <v>212</v>
      </c>
      <c r="DG705" t="s">
        <v>235</v>
      </c>
      <c r="DH705" t="s">
        <v>212</v>
      </c>
      <c r="DJ705" t="s">
        <v>236</v>
      </c>
      <c r="DM705" t="s">
        <v>212</v>
      </c>
    </row>
    <row r="706" spans="1:184" x14ac:dyDescent="0.3">
      <c r="A706">
        <v>22878063</v>
      </c>
      <c r="B706">
        <v>7353052</v>
      </c>
      <c r="C706" t="str">
        <f>"160425604084"</f>
        <v>160425604084</v>
      </c>
      <c r="D706" t="s">
        <v>1857</v>
      </c>
      <c r="E706" t="s">
        <v>1562</v>
      </c>
      <c r="F706" t="s">
        <v>280</v>
      </c>
      <c r="G706" s="1">
        <v>42485</v>
      </c>
      <c r="I706" t="s">
        <v>199</v>
      </c>
      <c r="J706" t="s">
        <v>200</v>
      </c>
      <c r="K706" t="s">
        <v>201</v>
      </c>
      <c r="R706" t="str">
        <f>"КАЗАХСТАН, АКМОЛИНСКАЯ, СТЕПНОГОРСК, 22, 39"</f>
        <v>КАЗАХСТАН, АКМОЛИНСКАЯ, СТЕПНОГОРСК, 22, 39</v>
      </c>
      <c r="S706" t="str">
        <f>"ҚАЗАҚСТАН, АҚМОЛА, СТЕПНОГОР, 22, 39"</f>
        <v>ҚАЗАҚСТАН, АҚМОЛА, СТЕПНОГОР, 22, 39</v>
      </c>
      <c r="T706" t="str">
        <f>"22, 39"</f>
        <v>22, 39</v>
      </c>
      <c r="U706" t="str">
        <f>"22, 39"</f>
        <v>22, 39</v>
      </c>
      <c r="AC706" t="str">
        <f t="shared" si="29"/>
        <v>2022-08-25T00:00:00</v>
      </c>
      <c r="AD706" t="str">
        <f t="shared" si="33"/>
        <v>120</v>
      </c>
      <c r="AG706" t="s">
        <v>202</v>
      </c>
      <c r="AI706" t="s">
        <v>299</v>
      </c>
      <c r="AJ706" t="s">
        <v>570</v>
      </c>
      <c r="AK706" t="s">
        <v>261</v>
      </c>
      <c r="AL706" t="s">
        <v>206</v>
      </c>
      <c r="AN706" t="s">
        <v>207</v>
      </c>
      <c r="AO706">
        <v>2</v>
      </c>
      <c r="AP706" t="s">
        <v>208</v>
      </c>
      <c r="AQ706" t="s">
        <v>209</v>
      </c>
      <c r="AR706" t="s">
        <v>502</v>
      </c>
      <c r="AW706" t="s">
        <v>212</v>
      </c>
      <c r="AZ706" t="s">
        <v>209</v>
      </c>
      <c r="BI706" t="s">
        <v>212</v>
      </c>
      <c r="BJ706" t="s">
        <v>213</v>
      </c>
      <c r="BK706" t="s">
        <v>214</v>
      </c>
      <c r="BL706" t="s">
        <v>357</v>
      </c>
      <c r="BN706" t="s">
        <v>216</v>
      </c>
      <c r="BO706" t="s">
        <v>209</v>
      </c>
      <c r="BP706" t="s">
        <v>241</v>
      </c>
      <c r="BQ706">
        <v>4</v>
      </c>
      <c r="BS706" t="s">
        <v>220</v>
      </c>
      <c r="BU706" t="s">
        <v>212</v>
      </c>
      <c r="BZ706" t="s">
        <v>571</v>
      </c>
      <c r="CA706" t="s">
        <v>287</v>
      </c>
      <c r="CC706" t="s">
        <v>222</v>
      </c>
      <c r="CD706" t="s">
        <v>223</v>
      </c>
      <c r="CE706" t="s">
        <v>242</v>
      </c>
      <c r="CJ706" t="s">
        <v>206</v>
      </c>
      <c r="CK706" t="s">
        <v>230</v>
      </c>
      <c r="CL706" t="s">
        <v>231</v>
      </c>
      <c r="CM706" t="s">
        <v>232</v>
      </c>
      <c r="CN706" t="s">
        <v>233</v>
      </c>
      <c r="CP706" t="s">
        <v>212</v>
      </c>
      <c r="CQ706" t="s">
        <v>212</v>
      </c>
      <c r="CR706" t="s">
        <v>212</v>
      </c>
      <c r="CS706" t="s">
        <v>212</v>
      </c>
      <c r="CY706" t="s">
        <v>212</v>
      </c>
      <c r="DB706" t="s">
        <v>234</v>
      </c>
      <c r="DE706" t="s">
        <v>212</v>
      </c>
      <c r="DF706" t="s">
        <v>212</v>
      </c>
      <c r="DG706" t="s">
        <v>235</v>
      </c>
      <c r="DH706" t="s">
        <v>212</v>
      </c>
      <c r="DJ706" t="s">
        <v>236</v>
      </c>
      <c r="DM706" t="s">
        <v>212</v>
      </c>
    </row>
    <row r="707" spans="1:184" x14ac:dyDescent="0.3">
      <c r="A707">
        <v>22878442</v>
      </c>
      <c r="B707">
        <v>7301157</v>
      </c>
      <c r="C707" t="str">
        <f>"160518503095"</f>
        <v>160518503095</v>
      </c>
      <c r="D707" t="s">
        <v>1858</v>
      </c>
      <c r="E707" t="s">
        <v>1328</v>
      </c>
      <c r="F707" t="s">
        <v>1256</v>
      </c>
      <c r="G707" s="1">
        <v>42508</v>
      </c>
      <c r="I707" t="s">
        <v>240</v>
      </c>
      <c r="J707" t="s">
        <v>200</v>
      </c>
      <c r="K707" t="s">
        <v>260</v>
      </c>
      <c r="R707" t="str">
        <f>"КАЗАХСТАН, АКМОЛИНСКАЯ, СТЕПНОГОРСК, 31, 72"</f>
        <v>КАЗАХСТАН, АКМОЛИНСКАЯ, СТЕПНОГОРСК, 31, 72</v>
      </c>
      <c r="S707" t="str">
        <f>"ҚАЗАҚСТАН, АҚМОЛА, СТЕПНОГОР, 31, 72"</f>
        <v>ҚАЗАҚСТАН, АҚМОЛА, СТЕПНОГОР, 31, 72</v>
      </c>
      <c r="T707" t="str">
        <f>"31, 72"</f>
        <v>31, 72</v>
      </c>
      <c r="U707" t="str">
        <f>"31, 72"</f>
        <v>31, 72</v>
      </c>
      <c r="AC707" t="str">
        <f t="shared" si="29"/>
        <v>2022-08-25T00:00:00</v>
      </c>
      <c r="AD707" t="str">
        <f t="shared" si="33"/>
        <v>120</v>
      </c>
      <c r="AG707" t="s">
        <v>202</v>
      </c>
      <c r="AI707" t="s">
        <v>274</v>
      </c>
      <c r="AJ707" t="s">
        <v>570</v>
      </c>
      <c r="AK707" t="s">
        <v>246</v>
      </c>
      <c r="AL707" t="s">
        <v>206</v>
      </c>
      <c r="AN707" t="s">
        <v>207</v>
      </c>
      <c r="AO707">
        <v>1</v>
      </c>
      <c r="AP707" t="s">
        <v>208</v>
      </c>
      <c r="AQ707" t="s">
        <v>209</v>
      </c>
      <c r="AR707" t="s">
        <v>210</v>
      </c>
      <c r="AW707" t="s">
        <v>212</v>
      </c>
      <c r="AZ707" t="s">
        <v>209</v>
      </c>
      <c r="BI707" t="s">
        <v>212</v>
      </c>
      <c r="BJ707" t="s">
        <v>213</v>
      </c>
      <c r="BK707" t="s">
        <v>214</v>
      </c>
      <c r="BL707" t="s">
        <v>357</v>
      </c>
      <c r="BN707" t="s">
        <v>247</v>
      </c>
      <c r="BO707" t="s">
        <v>209</v>
      </c>
      <c r="BP707" t="s">
        <v>241</v>
      </c>
      <c r="BQ707">
        <v>3</v>
      </c>
      <c r="BS707" t="s">
        <v>220</v>
      </c>
      <c r="BU707" t="s">
        <v>212</v>
      </c>
      <c r="BZ707" t="s">
        <v>571</v>
      </c>
      <c r="CA707" t="s">
        <v>287</v>
      </c>
      <c r="CC707" t="s">
        <v>222</v>
      </c>
      <c r="CD707" t="s">
        <v>223</v>
      </c>
      <c r="CE707" t="s">
        <v>242</v>
      </c>
      <c r="CJ707" t="s">
        <v>206</v>
      </c>
      <c r="CK707" t="s">
        <v>230</v>
      </c>
      <c r="CL707" t="s">
        <v>231</v>
      </c>
      <c r="CM707" t="s">
        <v>232</v>
      </c>
      <c r="CN707" t="s">
        <v>233</v>
      </c>
      <c r="CP707" t="s">
        <v>212</v>
      </c>
      <c r="CQ707" t="s">
        <v>212</v>
      </c>
      <c r="CR707" t="s">
        <v>212</v>
      </c>
      <c r="CS707" t="s">
        <v>212</v>
      </c>
      <c r="CY707" t="s">
        <v>212</v>
      </c>
      <c r="DB707" t="s">
        <v>234</v>
      </c>
      <c r="DE707" t="s">
        <v>212</v>
      </c>
      <c r="DF707" t="s">
        <v>212</v>
      </c>
      <c r="DG707" t="s">
        <v>235</v>
      </c>
      <c r="DH707" t="s">
        <v>212</v>
      </c>
      <c r="DJ707" t="s">
        <v>236</v>
      </c>
      <c r="DM707" t="s">
        <v>212</v>
      </c>
    </row>
    <row r="708" spans="1:184" x14ac:dyDescent="0.3">
      <c r="A708">
        <v>22878460</v>
      </c>
      <c r="B708">
        <v>920973</v>
      </c>
      <c r="C708" t="str">
        <f>"150306505285"</f>
        <v>150306505285</v>
      </c>
      <c r="D708" t="s">
        <v>1859</v>
      </c>
      <c r="E708" t="s">
        <v>425</v>
      </c>
      <c r="F708" t="s">
        <v>558</v>
      </c>
      <c r="G708" s="1">
        <v>42069</v>
      </c>
      <c r="I708" t="s">
        <v>240</v>
      </c>
      <c r="J708" t="s">
        <v>200</v>
      </c>
      <c r="K708" t="s">
        <v>260</v>
      </c>
      <c r="R708" t="str">
        <f>"КАЗАХСТАН, АКМОЛИНСКАЯ, СТЕПНОГОРСК, 33, 43"</f>
        <v>КАЗАХСТАН, АКМОЛИНСКАЯ, СТЕПНОГОРСК, 33, 43</v>
      </c>
      <c r="S708" t="str">
        <f>"ҚАЗАҚСТАН, АҚМОЛА, СТЕПНОГОР, 33, 43"</f>
        <v>ҚАЗАҚСТАН, АҚМОЛА, СТЕПНОГОР, 33, 43</v>
      </c>
      <c r="T708" t="str">
        <f>"33, 43"</f>
        <v>33, 43</v>
      </c>
      <c r="U708" t="str">
        <f>"33, 43"</f>
        <v>33, 43</v>
      </c>
      <c r="AC708" t="str">
        <f t="shared" si="29"/>
        <v>2022-08-25T00:00:00</v>
      </c>
      <c r="AD708" t="str">
        <f t="shared" si="33"/>
        <v>120</v>
      </c>
      <c r="AG708" t="s">
        <v>202</v>
      </c>
      <c r="AI708" t="s">
        <v>299</v>
      </c>
      <c r="AJ708" t="s">
        <v>570</v>
      </c>
      <c r="AK708" t="s">
        <v>246</v>
      </c>
      <c r="AL708" t="s">
        <v>206</v>
      </c>
      <c r="AN708" t="s">
        <v>207</v>
      </c>
      <c r="AO708">
        <v>1</v>
      </c>
      <c r="AP708" t="s">
        <v>208</v>
      </c>
      <c r="AQ708" t="s">
        <v>209</v>
      </c>
      <c r="AR708" t="s">
        <v>210</v>
      </c>
      <c r="AW708" t="s">
        <v>212</v>
      </c>
      <c r="AZ708" t="s">
        <v>209</v>
      </c>
      <c r="BI708" t="s">
        <v>212</v>
      </c>
      <c r="BJ708" t="s">
        <v>213</v>
      </c>
      <c r="BK708" t="s">
        <v>214</v>
      </c>
      <c r="BL708" t="s">
        <v>357</v>
      </c>
      <c r="BN708" t="s">
        <v>216</v>
      </c>
      <c r="BO708" t="s">
        <v>209</v>
      </c>
      <c r="BP708" t="s">
        <v>241</v>
      </c>
      <c r="BQ708">
        <v>4</v>
      </c>
      <c r="BS708" t="s">
        <v>220</v>
      </c>
      <c r="BU708" t="s">
        <v>212</v>
      </c>
      <c r="BZ708" t="s">
        <v>571</v>
      </c>
      <c r="CA708" t="s">
        <v>287</v>
      </c>
      <c r="CC708" t="s">
        <v>222</v>
      </c>
      <c r="CD708" t="s">
        <v>223</v>
      </c>
      <c r="CE708" t="s">
        <v>242</v>
      </c>
      <c r="CJ708" t="s">
        <v>206</v>
      </c>
      <c r="CK708" t="s">
        <v>230</v>
      </c>
      <c r="CL708" t="s">
        <v>231</v>
      </c>
      <c r="CM708" t="s">
        <v>232</v>
      </c>
      <c r="CN708" t="s">
        <v>233</v>
      </c>
      <c r="CP708" t="s">
        <v>212</v>
      </c>
      <c r="CQ708" t="s">
        <v>212</v>
      </c>
      <c r="CR708" t="s">
        <v>212</v>
      </c>
      <c r="CS708" t="s">
        <v>212</v>
      </c>
      <c r="CY708" t="s">
        <v>212</v>
      </c>
      <c r="DB708" t="s">
        <v>234</v>
      </c>
      <c r="DE708" t="s">
        <v>212</v>
      </c>
      <c r="DF708" t="s">
        <v>212</v>
      </c>
      <c r="DG708" t="s">
        <v>235</v>
      </c>
      <c r="DH708" t="s">
        <v>212</v>
      </c>
      <c r="DJ708" t="s">
        <v>236</v>
      </c>
      <c r="DM708" t="s">
        <v>212</v>
      </c>
    </row>
    <row r="709" spans="1:184" x14ac:dyDescent="0.3">
      <c r="A709">
        <v>22878512</v>
      </c>
      <c r="B709">
        <v>840726</v>
      </c>
      <c r="C709" t="str">
        <f>"151224503682"</f>
        <v>151224503682</v>
      </c>
      <c r="D709" t="s">
        <v>1860</v>
      </c>
      <c r="E709" t="s">
        <v>819</v>
      </c>
      <c r="F709" t="s">
        <v>259</v>
      </c>
      <c r="G709" s="1">
        <v>42362</v>
      </c>
      <c r="I709" t="s">
        <v>240</v>
      </c>
      <c r="J709" t="s">
        <v>200</v>
      </c>
      <c r="K709" t="s">
        <v>260</v>
      </c>
      <c r="R709" t="str">
        <f>"КАЗАХСТАН, АКМОЛИНСКАЯ, СТЕПНОГОРСК, 42, 82"</f>
        <v>КАЗАХСТАН, АКМОЛИНСКАЯ, СТЕПНОГОРСК, 42, 82</v>
      </c>
      <c r="S709" t="str">
        <f>"ҚАЗАҚСТАН, АҚМОЛА, СТЕПНОГОР, 42, 82"</f>
        <v>ҚАЗАҚСТАН, АҚМОЛА, СТЕПНОГОР, 42, 82</v>
      </c>
      <c r="T709" t="str">
        <f>"42, 82"</f>
        <v>42, 82</v>
      </c>
      <c r="U709" t="str">
        <f>"42, 82"</f>
        <v>42, 82</v>
      </c>
      <c r="AC709" t="str">
        <f t="shared" si="29"/>
        <v>2022-08-25T00:00:00</v>
      </c>
      <c r="AD709" t="str">
        <f t="shared" si="33"/>
        <v>120</v>
      </c>
      <c r="AG709" t="s">
        <v>202</v>
      </c>
      <c r="AI709" t="s">
        <v>299</v>
      </c>
      <c r="AJ709" t="s">
        <v>570</v>
      </c>
      <c r="AK709" t="s">
        <v>246</v>
      </c>
      <c r="AL709" t="s">
        <v>206</v>
      </c>
      <c r="AN709" t="s">
        <v>207</v>
      </c>
      <c r="AO709">
        <v>1</v>
      </c>
      <c r="AP709" t="s">
        <v>208</v>
      </c>
      <c r="AQ709" t="s">
        <v>209</v>
      </c>
      <c r="AR709" t="s">
        <v>210</v>
      </c>
      <c r="AW709" t="s">
        <v>212</v>
      </c>
      <c r="AZ709" t="s">
        <v>209</v>
      </c>
      <c r="BI709" t="s">
        <v>212</v>
      </c>
      <c r="BJ709" t="s">
        <v>213</v>
      </c>
      <c r="BK709" t="s">
        <v>214</v>
      </c>
      <c r="BL709" t="s">
        <v>357</v>
      </c>
      <c r="BN709" t="s">
        <v>216</v>
      </c>
      <c r="BO709" t="s">
        <v>209</v>
      </c>
      <c r="BP709" t="s">
        <v>241</v>
      </c>
      <c r="BQ709">
        <v>4</v>
      </c>
      <c r="BS709" t="s">
        <v>220</v>
      </c>
      <c r="BU709" t="s">
        <v>212</v>
      </c>
      <c r="BZ709" t="s">
        <v>571</v>
      </c>
      <c r="CA709" t="s">
        <v>287</v>
      </c>
      <c r="CC709" t="s">
        <v>222</v>
      </c>
      <c r="CD709" t="s">
        <v>223</v>
      </c>
      <c r="CE709" t="s">
        <v>242</v>
      </c>
      <c r="CJ709" t="s">
        <v>206</v>
      </c>
      <c r="CK709" t="s">
        <v>230</v>
      </c>
      <c r="CL709" t="s">
        <v>231</v>
      </c>
      <c r="CM709" t="s">
        <v>232</v>
      </c>
      <c r="CN709" t="s">
        <v>233</v>
      </c>
      <c r="CP709" t="s">
        <v>212</v>
      </c>
      <c r="CQ709" t="s">
        <v>212</v>
      </c>
      <c r="CR709" t="s">
        <v>212</v>
      </c>
      <c r="CS709" t="s">
        <v>212</v>
      </c>
      <c r="CY709" t="s">
        <v>212</v>
      </c>
      <c r="DB709" t="s">
        <v>234</v>
      </c>
      <c r="DE709" t="s">
        <v>212</v>
      </c>
      <c r="DF709" t="s">
        <v>212</v>
      </c>
      <c r="DG709" t="s">
        <v>235</v>
      </c>
      <c r="DH709" t="s">
        <v>212</v>
      </c>
      <c r="DJ709" t="s">
        <v>236</v>
      </c>
      <c r="DM709" t="s">
        <v>212</v>
      </c>
    </row>
    <row r="710" spans="1:184" x14ac:dyDescent="0.3">
      <c r="A710">
        <v>22878664</v>
      </c>
      <c r="B710">
        <v>9538696</v>
      </c>
      <c r="C710" t="str">
        <f>"161201600727"</f>
        <v>161201600727</v>
      </c>
      <c r="D710" t="s">
        <v>1861</v>
      </c>
      <c r="E710" t="s">
        <v>459</v>
      </c>
      <c r="F710" t="s">
        <v>1115</v>
      </c>
      <c r="G710" s="1">
        <v>42705</v>
      </c>
      <c r="I710" t="s">
        <v>199</v>
      </c>
      <c r="J710" t="s">
        <v>200</v>
      </c>
      <c r="K710" t="s">
        <v>260</v>
      </c>
      <c r="Q710" t="s">
        <v>212</v>
      </c>
      <c r="R710" t="str">
        <f>"КАЗАХСТАН, АКМОЛИНСКАЯ, СТЕПНОГОРСК, 39, 27"</f>
        <v>КАЗАХСТАН, АКМОЛИНСКАЯ, СТЕПНОГОРСК, 39, 27</v>
      </c>
      <c r="S710" t="str">
        <f>"ҚАЗАҚСТАН, АҚМОЛА, СТЕПНОГОР, 39, 27"</f>
        <v>ҚАЗАҚСТАН, АҚМОЛА, СТЕПНОГОР, 39, 27</v>
      </c>
      <c r="T710" t="str">
        <f>"39, 27"</f>
        <v>39, 27</v>
      </c>
      <c r="U710" t="str">
        <f>"39, 27"</f>
        <v>39, 27</v>
      </c>
      <c r="AC710" t="str">
        <f>"2023-08-25T00:00:00"</f>
        <v>2023-08-25T00:00:00</v>
      </c>
      <c r="AD710" t="str">
        <f t="shared" ref="AD710:AD720" si="34">"201"</f>
        <v>201</v>
      </c>
      <c r="AE710" t="str">
        <f>"2023-09-01T13:26:17"</f>
        <v>2023-09-01T13:26:17</v>
      </c>
      <c r="AF710" t="str">
        <f>"2024-05-25T13:26:17"</f>
        <v>2024-05-25T13:26:17</v>
      </c>
      <c r="AG710" t="s">
        <v>202</v>
      </c>
      <c r="AI710" t="s">
        <v>269</v>
      </c>
      <c r="AJ710" t="s">
        <v>660</v>
      </c>
      <c r="AK710" t="s">
        <v>205</v>
      </c>
      <c r="AL710" t="s">
        <v>206</v>
      </c>
      <c r="AN710" t="s">
        <v>207</v>
      </c>
      <c r="AO710">
        <v>1</v>
      </c>
      <c r="AP710" t="s">
        <v>208</v>
      </c>
      <c r="AQ710" t="s">
        <v>209</v>
      </c>
      <c r="AR710" t="s">
        <v>502</v>
      </c>
      <c r="AW710" t="s">
        <v>212</v>
      </c>
      <c r="AZ710" t="s">
        <v>209</v>
      </c>
      <c r="BI710" t="s">
        <v>212</v>
      </c>
      <c r="BJ710" t="s">
        <v>213</v>
      </c>
      <c r="BK710" t="s">
        <v>214</v>
      </c>
      <c r="BL710" t="s">
        <v>357</v>
      </c>
      <c r="BN710" t="s">
        <v>661</v>
      </c>
      <c r="BO710" t="s">
        <v>209</v>
      </c>
      <c r="BS710" t="s">
        <v>220</v>
      </c>
      <c r="BU710" t="s">
        <v>212</v>
      </c>
      <c r="BX710" t="s">
        <v>221</v>
      </c>
      <c r="BY710" t="s">
        <v>221</v>
      </c>
      <c r="BZ710" t="s">
        <v>662</v>
      </c>
      <c r="CA710" t="s">
        <v>287</v>
      </c>
      <c r="CC710" t="s">
        <v>209</v>
      </c>
      <c r="CE710" t="s">
        <v>242</v>
      </c>
      <c r="CJ710" t="s">
        <v>206</v>
      </c>
      <c r="CK710" t="s">
        <v>230</v>
      </c>
      <c r="CL710" t="s">
        <v>231</v>
      </c>
      <c r="CM710" t="s">
        <v>232</v>
      </c>
      <c r="CN710" t="s">
        <v>233</v>
      </c>
      <c r="CP710" t="s">
        <v>212</v>
      </c>
      <c r="CQ710" t="s">
        <v>212</v>
      </c>
      <c r="CR710" t="s">
        <v>212</v>
      </c>
      <c r="CS710" t="s">
        <v>212</v>
      </c>
      <c r="CY710" t="s">
        <v>212</v>
      </c>
      <c r="DB710" t="s">
        <v>653</v>
      </c>
      <c r="DC710" t="str">
        <f>"№209 Общее  недоразвитие речи 3 уровня."</f>
        <v>№209 Общее  недоразвитие речи 3 уровня.</v>
      </c>
      <c r="DD710" t="str">
        <f>"2023-03-27T00:00:00"</f>
        <v>2023-03-27T00:00:00</v>
      </c>
      <c r="DE710" t="s">
        <v>212</v>
      </c>
      <c r="DF710" t="s">
        <v>206</v>
      </c>
      <c r="DG710" t="s">
        <v>235</v>
      </c>
      <c r="DH710" t="s">
        <v>212</v>
      </c>
      <c r="DJ710" t="s">
        <v>236</v>
      </c>
      <c r="DM710" t="s">
        <v>212</v>
      </c>
      <c r="GB710" t="s">
        <v>206</v>
      </c>
    </row>
    <row r="711" spans="1:184" x14ac:dyDescent="0.3">
      <c r="A711">
        <v>22878711</v>
      </c>
      <c r="B711">
        <v>8732043</v>
      </c>
      <c r="C711" t="str">
        <f>"160915601529"</f>
        <v>160915601529</v>
      </c>
      <c r="D711" t="s">
        <v>1862</v>
      </c>
      <c r="E711" t="s">
        <v>1114</v>
      </c>
      <c r="F711" t="s">
        <v>921</v>
      </c>
      <c r="G711" s="1">
        <v>42628</v>
      </c>
      <c r="I711" t="s">
        <v>199</v>
      </c>
      <c r="J711" t="s">
        <v>200</v>
      </c>
      <c r="K711" t="s">
        <v>260</v>
      </c>
      <c r="R711" t="str">
        <f>"КАЗАХСТАН, АКМОЛИНСКАЯ, СТЕПНОГОРСК, 21, 2"</f>
        <v>КАЗАХСТАН, АКМОЛИНСКАЯ, СТЕПНОГОРСК, 21, 2</v>
      </c>
      <c r="S711" t="str">
        <f>"ҚАЗАҚСТАН, АҚМОЛА, СТЕПНОГОР, 21, 2"</f>
        <v>ҚАЗАҚСТАН, АҚМОЛА, СТЕПНОГОР, 21, 2</v>
      </c>
      <c r="T711" t="str">
        <f>"21, 2"</f>
        <v>21, 2</v>
      </c>
      <c r="U711" t="str">
        <f>"21, 2"</f>
        <v>21, 2</v>
      </c>
      <c r="AC711" t="str">
        <f t="shared" ref="AC711:AC716" si="35">"2022-08-25T00:00:00"</f>
        <v>2022-08-25T00:00:00</v>
      </c>
      <c r="AD711" t="str">
        <f t="shared" si="34"/>
        <v>201</v>
      </c>
      <c r="AG711" t="s">
        <v>202</v>
      </c>
      <c r="AI711" t="s">
        <v>269</v>
      </c>
      <c r="AJ711" t="s">
        <v>660</v>
      </c>
      <c r="AK711" t="s">
        <v>261</v>
      </c>
      <c r="AL711" t="s">
        <v>206</v>
      </c>
      <c r="AN711" t="s">
        <v>207</v>
      </c>
      <c r="AO711">
        <v>1</v>
      </c>
      <c r="AP711" t="s">
        <v>208</v>
      </c>
      <c r="AQ711" t="s">
        <v>209</v>
      </c>
      <c r="AR711" t="s">
        <v>502</v>
      </c>
      <c r="AW711" t="s">
        <v>212</v>
      </c>
      <c r="AZ711" t="s">
        <v>209</v>
      </c>
      <c r="BI711" t="s">
        <v>212</v>
      </c>
      <c r="BJ711" t="s">
        <v>213</v>
      </c>
      <c r="BK711" t="s">
        <v>214</v>
      </c>
      <c r="BL711" t="s">
        <v>357</v>
      </c>
      <c r="BN711" t="s">
        <v>661</v>
      </c>
      <c r="BO711" t="s">
        <v>209</v>
      </c>
      <c r="BS711" t="s">
        <v>220</v>
      </c>
      <c r="BU711" t="s">
        <v>212</v>
      </c>
      <c r="BZ711" t="s">
        <v>662</v>
      </c>
      <c r="CA711" t="s">
        <v>287</v>
      </c>
      <c r="CC711" t="s">
        <v>209</v>
      </c>
      <c r="CE711" t="s">
        <v>242</v>
      </c>
      <c r="CJ711" t="s">
        <v>206</v>
      </c>
      <c r="CK711" t="s">
        <v>230</v>
      </c>
      <c r="CL711" t="s">
        <v>231</v>
      </c>
      <c r="CM711" t="s">
        <v>232</v>
      </c>
      <c r="CN711" t="s">
        <v>233</v>
      </c>
      <c r="CP711" t="s">
        <v>212</v>
      </c>
      <c r="CQ711" t="s">
        <v>212</v>
      </c>
      <c r="CR711" t="s">
        <v>212</v>
      </c>
      <c r="CS711" t="s">
        <v>212</v>
      </c>
      <c r="CY711" t="s">
        <v>212</v>
      </c>
      <c r="DB711" t="s">
        <v>234</v>
      </c>
      <c r="DE711" t="s">
        <v>212</v>
      </c>
      <c r="DF711" t="s">
        <v>212</v>
      </c>
      <c r="DG711" t="s">
        <v>235</v>
      </c>
      <c r="DH711" t="s">
        <v>212</v>
      </c>
      <c r="DJ711" t="s">
        <v>236</v>
      </c>
      <c r="DM711" t="s">
        <v>212</v>
      </c>
      <c r="GB711" t="s">
        <v>206</v>
      </c>
    </row>
    <row r="712" spans="1:184" x14ac:dyDescent="0.3">
      <c r="A712">
        <v>22878747</v>
      </c>
      <c r="B712">
        <v>12685217</v>
      </c>
      <c r="C712" t="str">
        <f>"170427502272"</f>
        <v>170427502272</v>
      </c>
      <c r="D712" t="s">
        <v>742</v>
      </c>
      <c r="E712" t="s">
        <v>1863</v>
      </c>
      <c r="F712" t="s">
        <v>744</v>
      </c>
      <c r="G712" s="1">
        <v>42852</v>
      </c>
      <c r="I712" t="s">
        <v>240</v>
      </c>
      <c r="J712" t="s">
        <v>200</v>
      </c>
      <c r="K712" t="s">
        <v>201</v>
      </c>
      <c r="R712" t="str">
        <f>"КАЗАХСТАН, АКМОЛИНСКАЯ, СТЕПНОГОРСК, 39, 43"</f>
        <v>КАЗАХСТАН, АКМОЛИНСКАЯ, СТЕПНОГОРСК, 39, 43</v>
      </c>
      <c r="S712" t="str">
        <f>"ҚАЗАҚСТАН, АҚМОЛА, СТЕПНОГОР, 39, 43"</f>
        <v>ҚАЗАҚСТАН, АҚМОЛА, СТЕПНОГОР, 39, 43</v>
      </c>
      <c r="T712" t="str">
        <f>"39, 43"</f>
        <v>39, 43</v>
      </c>
      <c r="U712" t="str">
        <f>"39, 43"</f>
        <v>39, 43</v>
      </c>
      <c r="AC712" t="str">
        <f t="shared" si="35"/>
        <v>2022-08-25T00:00:00</v>
      </c>
      <c r="AD712" t="str">
        <f t="shared" si="34"/>
        <v>201</v>
      </c>
      <c r="AG712" t="s">
        <v>202</v>
      </c>
      <c r="AI712" t="s">
        <v>269</v>
      </c>
      <c r="AJ712" t="s">
        <v>660</v>
      </c>
      <c r="AK712" t="s">
        <v>246</v>
      </c>
      <c r="AL712" t="s">
        <v>206</v>
      </c>
      <c r="AN712" t="s">
        <v>207</v>
      </c>
      <c r="AO712">
        <v>1</v>
      </c>
      <c r="AP712" t="s">
        <v>208</v>
      </c>
      <c r="AQ712" t="s">
        <v>209</v>
      </c>
      <c r="AR712" t="s">
        <v>502</v>
      </c>
      <c r="AW712" t="s">
        <v>212</v>
      </c>
      <c r="AZ712" t="s">
        <v>209</v>
      </c>
      <c r="BI712" t="s">
        <v>212</v>
      </c>
      <c r="BJ712" t="s">
        <v>213</v>
      </c>
      <c r="BK712" t="s">
        <v>214</v>
      </c>
      <c r="BL712" t="s">
        <v>357</v>
      </c>
      <c r="BN712" t="s">
        <v>661</v>
      </c>
      <c r="BO712" t="s">
        <v>209</v>
      </c>
      <c r="BS712" t="s">
        <v>220</v>
      </c>
      <c r="BU712" t="s">
        <v>212</v>
      </c>
      <c r="BZ712" t="s">
        <v>662</v>
      </c>
      <c r="CA712" t="s">
        <v>287</v>
      </c>
      <c r="CC712" t="s">
        <v>209</v>
      </c>
      <c r="CE712" t="s">
        <v>242</v>
      </c>
      <c r="CJ712" t="s">
        <v>206</v>
      </c>
      <c r="CK712" t="s">
        <v>230</v>
      </c>
      <c r="CL712" t="s">
        <v>231</v>
      </c>
      <c r="CM712" t="s">
        <v>232</v>
      </c>
      <c r="CN712" t="s">
        <v>233</v>
      </c>
      <c r="CP712" t="s">
        <v>212</v>
      </c>
      <c r="CQ712" t="s">
        <v>212</v>
      </c>
      <c r="CR712" t="s">
        <v>212</v>
      </c>
      <c r="CS712" t="s">
        <v>212</v>
      </c>
      <c r="CY712" t="s">
        <v>212</v>
      </c>
      <c r="DB712" t="s">
        <v>234</v>
      </c>
      <c r="DE712" t="s">
        <v>212</v>
      </c>
      <c r="DF712" t="s">
        <v>212</v>
      </c>
      <c r="DG712" t="s">
        <v>235</v>
      </c>
      <c r="DH712" t="s">
        <v>212</v>
      </c>
      <c r="DI712" t="s">
        <v>1026</v>
      </c>
      <c r="DJ712" t="s">
        <v>421</v>
      </c>
      <c r="DK712" t="s">
        <v>707</v>
      </c>
      <c r="DL712" t="s">
        <v>423</v>
      </c>
      <c r="DM712" t="s">
        <v>206</v>
      </c>
    </row>
    <row r="713" spans="1:184" x14ac:dyDescent="0.3">
      <c r="A713">
        <v>22878798</v>
      </c>
      <c r="B713">
        <v>12685229</v>
      </c>
      <c r="C713" t="str">
        <f>"160122605471"</f>
        <v>160122605471</v>
      </c>
      <c r="D713" t="s">
        <v>1864</v>
      </c>
      <c r="E713" t="s">
        <v>279</v>
      </c>
      <c r="F713" t="s">
        <v>305</v>
      </c>
      <c r="G713" s="1">
        <v>42391</v>
      </c>
      <c r="I713" t="s">
        <v>199</v>
      </c>
      <c r="J713" t="s">
        <v>200</v>
      </c>
      <c r="K713" t="s">
        <v>260</v>
      </c>
      <c r="R713" t="str">
        <f>"КАЗАХСТАН, АКМОЛИНСКАЯ, СТЕПНОГОРСК, СТЕПНОГОРСК, 46, 60"</f>
        <v>КАЗАХСТАН, АКМОЛИНСКАЯ, СТЕПНОГОРСК, СТЕПНОГОРСК, 46, 60</v>
      </c>
      <c r="S713" t="str">
        <f>"ҚАЗАҚСТАН, АҚМОЛА, СТЕПНОГОР, СТЕПНОГОРСК, 46, 60"</f>
        <v>ҚАЗАҚСТАН, АҚМОЛА, СТЕПНОГОР, СТЕПНОГОРСК, 46, 60</v>
      </c>
      <c r="T713" t="str">
        <f>"СТЕПНОГОРСК, 46, 60"</f>
        <v>СТЕПНОГОРСК, 46, 60</v>
      </c>
      <c r="U713" t="str">
        <f>"СТЕПНОГОРСК, 46, 60"</f>
        <v>СТЕПНОГОРСК, 46, 60</v>
      </c>
      <c r="AC713" t="str">
        <f t="shared" si="35"/>
        <v>2022-08-25T00:00:00</v>
      </c>
      <c r="AD713" t="str">
        <f t="shared" si="34"/>
        <v>201</v>
      </c>
      <c r="AG713" t="s">
        <v>202</v>
      </c>
      <c r="AI713" t="s">
        <v>269</v>
      </c>
      <c r="AJ713" t="s">
        <v>660</v>
      </c>
      <c r="AK713" t="s">
        <v>261</v>
      </c>
      <c r="AL713" t="s">
        <v>206</v>
      </c>
      <c r="AN713" t="s">
        <v>207</v>
      </c>
      <c r="AO713">
        <v>1</v>
      </c>
      <c r="AP713" t="s">
        <v>208</v>
      </c>
      <c r="AQ713" t="s">
        <v>209</v>
      </c>
      <c r="AR713" t="s">
        <v>502</v>
      </c>
      <c r="AW713" t="s">
        <v>212</v>
      </c>
      <c r="AZ713" t="s">
        <v>209</v>
      </c>
      <c r="BI713" t="s">
        <v>212</v>
      </c>
      <c r="BJ713" t="s">
        <v>213</v>
      </c>
      <c r="BK713" t="s">
        <v>214</v>
      </c>
      <c r="BL713" t="s">
        <v>357</v>
      </c>
      <c r="BN713" t="s">
        <v>661</v>
      </c>
      <c r="BO713" t="s">
        <v>209</v>
      </c>
      <c r="BS713" t="s">
        <v>220</v>
      </c>
      <c r="BU713" t="s">
        <v>212</v>
      </c>
      <c r="BZ713" t="s">
        <v>662</v>
      </c>
      <c r="CA713" t="s">
        <v>287</v>
      </c>
      <c r="CC713" t="s">
        <v>209</v>
      </c>
      <c r="CE713" t="s">
        <v>242</v>
      </c>
      <c r="CJ713" t="s">
        <v>206</v>
      </c>
      <c r="CK713" t="s">
        <v>230</v>
      </c>
      <c r="CL713" t="s">
        <v>231</v>
      </c>
      <c r="CM713" t="s">
        <v>232</v>
      </c>
      <c r="CN713" t="s">
        <v>233</v>
      </c>
      <c r="CP713" t="s">
        <v>212</v>
      </c>
      <c r="CQ713" t="s">
        <v>212</v>
      </c>
      <c r="CR713" t="s">
        <v>212</v>
      </c>
      <c r="CS713" t="s">
        <v>212</v>
      </c>
      <c r="CY713" t="s">
        <v>212</v>
      </c>
      <c r="DB713" t="s">
        <v>234</v>
      </c>
      <c r="DE713" t="s">
        <v>212</v>
      </c>
      <c r="DF713" t="s">
        <v>212</v>
      </c>
      <c r="DG713" t="s">
        <v>235</v>
      </c>
      <c r="DH713" t="s">
        <v>212</v>
      </c>
      <c r="DJ713" t="s">
        <v>236</v>
      </c>
      <c r="DM713" t="s">
        <v>212</v>
      </c>
    </row>
    <row r="714" spans="1:184" x14ac:dyDescent="0.3">
      <c r="A714">
        <v>22878810</v>
      </c>
      <c r="B714">
        <v>12685233</v>
      </c>
      <c r="C714" t="str">
        <f>"160606050033"</f>
        <v>160606050033</v>
      </c>
      <c r="D714" t="s">
        <v>542</v>
      </c>
      <c r="E714" t="s">
        <v>1865</v>
      </c>
      <c r="F714" t="s">
        <v>544</v>
      </c>
      <c r="G714" s="1">
        <v>42527</v>
      </c>
      <c r="I714" t="s">
        <v>240</v>
      </c>
      <c r="J714" t="s">
        <v>1866</v>
      </c>
      <c r="K714" t="s">
        <v>545</v>
      </c>
      <c r="L714" t="s">
        <v>212</v>
      </c>
      <c r="R714" t="str">
        <f>"-"</f>
        <v>-</v>
      </c>
      <c r="S714" t="str">
        <f>"-"</f>
        <v>-</v>
      </c>
      <c r="T714" t="str">
        <f>"-"</f>
        <v>-</v>
      </c>
      <c r="U714" t="str">
        <f>"-"</f>
        <v>-</v>
      </c>
      <c r="AC714" t="str">
        <f t="shared" si="35"/>
        <v>2022-08-25T00:00:00</v>
      </c>
      <c r="AD714" t="str">
        <f t="shared" si="34"/>
        <v>201</v>
      </c>
      <c r="AG714" t="s">
        <v>202</v>
      </c>
      <c r="AI714" t="s">
        <v>269</v>
      </c>
      <c r="AJ714" t="s">
        <v>660</v>
      </c>
      <c r="AK714" t="s">
        <v>246</v>
      </c>
      <c r="AL714" t="s">
        <v>206</v>
      </c>
      <c r="AN714" t="s">
        <v>207</v>
      </c>
      <c r="AO714">
        <v>1</v>
      </c>
      <c r="AP714" t="s">
        <v>208</v>
      </c>
      <c r="AQ714" t="s">
        <v>209</v>
      </c>
      <c r="AR714" t="s">
        <v>502</v>
      </c>
      <c r="AW714" t="s">
        <v>212</v>
      </c>
      <c r="AZ714" t="s">
        <v>209</v>
      </c>
      <c r="BI714" t="s">
        <v>212</v>
      </c>
      <c r="BJ714" t="s">
        <v>213</v>
      </c>
      <c r="BK714" t="s">
        <v>214</v>
      </c>
      <c r="BL714" t="s">
        <v>357</v>
      </c>
      <c r="BN714" t="s">
        <v>661</v>
      </c>
      <c r="BO714" t="s">
        <v>209</v>
      </c>
      <c r="BS714" t="s">
        <v>220</v>
      </c>
      <c r="BU714" t="s">
        <v>212</v>
      </c>
      <c r="BX714" t="s">
        <v>234</v>
      </c>
      <c r="BY714" t="s">
        <v>234</v>
      </c>
      <c r="BZ714" t="s">
        <v>662</v>
      </c>
      <c r="CA714" t="s">
        <v>287</v>
      </c>
      <c r="CC714" t="s">
        <v>209</v>
      </c>
      <c r="CE714" t="s">
        <v>242</v>
      </c>
      <c r="CJ714" t="s">
        <v>206</v>
      </c>
      <c r="CK714" t="s">
        <v>230</v>
      </c>
      <c r="CL714" t="s">
        <v>231</v>
      </c>
      <c r="CM714" t="s">
        <v>232</v>
      </c>
      <c r="CN714" t="s">
        <v>233</v>
      </c>
      <c r="CP714" t="s">
        <v>212</v>
      </c>
      <c r="CQ714" t="s">
        <v>212</v>
      </c>
      <c r="CR714" t="s">
        <v>212</v>
      </c>
      <c r="CS714" t="s">
        <v>212</v>
      </c>
      <c r="CY714" t="s">
        <v>212</v>
      </c>
      <c r="DB714" t="s">
        <v>234</v>
      </c>
      <c r="DE714" t="s">
        <v>212</v>
      </c>
      <c r="DF714" t="s">
        <v>212</v>
      </c>
      <c r="DG714" t="s">
        <v>235</v>
      </c>
      <c r="DH714" t="s">
        <v>212</v>
      </c>
      <c r="DJ714" t="s">
        <v>236</v>
      </c>
      <c r="DM714" t="s">
        <v>212</v>
      </c>
    </row>
    <row r="715" spans="1:184" x14ac:dyDescent="0.3">
      <c r="A715">
        <v>22878838</v>
      </c>
      <c r="B715">
        <v>827874</v>
      </c>
      <c r="C715" t="str">
        <f>"160119505331"</f>
        <v>160119505331</v>
      </c>
      <c r="D715" t="s">
        <v>1586</v>
      </c>
      <c r="E715" t="s">
        <v>1744</v>
      </c>
      <c r="F715" t="s">
        <v>986</v>
      </c>
      <c r="G715" s="1">
        <v>42388</v>
      </c>
      <c r="I715" t="s">
        <v>240</v>
      </c>
      <c r="J715" t="s">
        <v>200</v>
      </c>
      <c r="K715" t="s">
        <v>260</v>
      </c>
      <c r="R715" t="str">
        <f>"КАЗАХСТАН, АКМОЛИНСКАЯ, СТЕПНОГОРСК, -, 80, 22"</f>
        <v>КАЗАХСТАН, АКМОЛИНСКАЯ, СТЕПНОГОРСК, -, 80, 22</v>
      </c>
      <c r="S715" t="str">
        <f>"ҚАЗАҚСТАН, АҚМОЛА, СТЕПНОГОР, -, 80, 22"</f>
        <v>ҚАЗАҚСТАН, АҚМОЛА, СТЕПНОГОР, -, 80, 22</v>
      </c>
      <c r="T715" t="str">
        <f>"-, 80, 22"</f>
        <v>-, 80, 22</v>
      </c>
      <c r="U715" t="str">
        <f>"-, 80, 22"</f>
        <v>-, 80, 22</v>
      </c>
      <c r="AC715" t="str">
        <f t="shared" si="35"/>
        <v>2022-08-25T00:00:00</v>
      </c>
      <c r="AD715" t="str">
        <f t="shared" si="34"/>
        <v>201</v>
      </c>
      <c r="AG715" t="s">
        <v>202</v>
      </c>
      <c r="AI715" t="s">
        <v>269</v>
      </c>
      <c r="AJ715" t="s">
        <v>660</v>
      </c>
      <c r="AK715" t="s">
        <v>205</v>
      </c>
      <c r="AL715" t="s">
        <v>206</v>
      </c>
      <c r="AN715" t="s">
        <v>207</v>
      </c>
      <c r="AO715">
        <v>1</v>
      </c>
      <c r="AP715" t="s">
        <v>208</v>
      </c>
      <c r="AQ715" t="s">
        <v>209</v>
      </c>
      <c r="AR715" t="s">
        <v>502</v>
      </c>
      <c r="AW715" t="s">
        <v>212</v>
      </c>
      <c r="AZ715" t="s">
        <v>209</v>
      </c>
      <c r="BI715" t="s">
        <v>212</v>
      </c>
      <c r="BJ715" t="s">
        <v>213</v>
      </c>
      <c r="BK715" t="s">
        <v>214</v>
      </c>
      <c r="BL715" t="s">
        <v>357</v>
      </c>
      <c r="BN715" t="s">
        <v>661</v>
      </c>
      <c r="BO715" t="s">
        <v>209</v>
      </c>
      <c r="BS715" t="s">
        <v>220</v>
      </c>
      <c r="BU715" t="s">
        <v>212</v>
      </c>
      <c r="BZ715" t="s">
        <v>662</v>
      </c>
      <c r="CA715" t="s">
        <v>287</v>
      </c>
      <c r="CC715" t="s">
        <v>209</v>
      </c>
      <c r="CE715" t="s">
        <v>242</v>
      </c>
      <c r="CJ715" t="s">
        <v>206</v>
      </c>
      <c r="CK715" t="s">
        <v>230</v>
      </c>
      <c r="CL715" t="s">
        <v>231</v>
      </c>
      <c r="CM715" t="s">
        <v>232</v>
      </c>
      <c r="CN715" t="s">
        <v>233</v>
      </c>
      <c r="CP715" t="s">
        <v>212</v>
      </c>
      <c r="CQ715" t="s">
        <v>212</v>
      </c>
      <c r="CR715" t="s">
        <v>212</v>
      </c>
      <c r="CS715" t="s">
        <v>212</v>
      </c>
      <c r="CY715" t="s">
        <v>212</v>
      </c>
      <c r="DB715" t="s">
        <v>234</v>
      </c>
      <c r="DE715" t="s">
        <v>212</v>
      </c>
      <c r="DF715" t="s">
        <v>212</v>
      </c>
      <c r="DG715" t="s">
        <v>235</v>
      </c>
      <c r="DH715" t="s">
        <v>212</v>
      </c>
      <c r="DJ715" t="s">
        <v>236</v>
      </c>
      <c r="DM715" t="s">
        <v>212</v>
      </c>
      <c r="GB715" t="s">
        <v>206</v>
      </c>
    </row>
    <row r="716" spans="1:184" x14ac:dyDescent="0.3">
      <c r="A716">
        <v>22878847</v>
      </c>
      <c r="B716">
        <v>7376639</v>
      </c>
      <c r="C716" t="str">
        <f>"160426604476"</f>
        <v>160426604476</v>
      </c>
      <c r="D716" t="s">
        <v>1749</v>
      </c>
      <c r="E716" t="s">
        <v>1152</v>
      </c>
      <c r="F716" t="s">
        <v>406</v>
      </c>
      <c r="G716" s="1">
        <v>42486</v>
      </c>
      <c r="I716" t="s">
        <v>199</v>
      </c>
      <c r="J716" t="s">
        <v>200</v>
      </c>
      <c r="K716" t="s">
        <v>260</v>
      </c>
      <c r="Q716" t="s">
        <v>212</v>
      </c>
      <c r="R716" t="str">
        <f>"КАЗАХСТАН, АКМОЛИНСКАЯ, СТЕПНОГОРСК, КЕНТI Аксу, 8"</f>
        <v>КАЗАХСТАН, АКМОЛИНСКАЯ, СТЕПНОГОРСК, КЕНТI Аксу, 8</v>
      </c>
      <c r="S716" t="str">
        <f>"ҚАЗАҚСТАН, АҚМОЛА, СТЕПНОГОР, КЕНТI Аксу, 8"</f>
        <v>ҚАЗАҚСТАН, АҚМОЛА, СТЕПНОГОР, КЕНТI Аксу, 8</v>
      </c>
      <c r="T716" t="str">
        <f>"КЕНТI Аксу, 8"</f>
        <v>КЕНТI Аксу, 8</v>
      </c>
      <c r="U716" t="str">
        <f>"КЕНТI Аксу, 8"</f>
        <v>КЕНТI Аксу, 8</v>
      </c>
      <c r="AC716" t="str">
        <f t="shared" si="35"/>
        <v>2022-08-25T00:00:00</v>
      </c>
      <c r="AD716" t="str">
        <f t="shared" si="34"/>
        <v>201</v>
      </c>
      <c r="AE716" t="str">
        <f>"2023-09-01T13:48:15"</f>
        <v>2023-09-01T13:48:15</v>
      </c>
      <c r="AF716" t="str">
        <f>"2024-05-25T13:48:15"</f>
        <v>2024-05-25T13:48:15</v>
      </c>
      <c r="AG716" t="s">
        <v>202</v>
      </c>
      <c r="AI716" t="s">
        <v>269</v>
      </c>
      <c r="AJ716" t="s">
        <v>660</v>
      </c>
      <c r="AK716" t="s">
        <v>246</v>
      </c>
      <c r="AL716" t="s">
        <v>206</v>
      </c>
      <c r="AN716" t="s">
        <v>207</v>
      </c>
      <c r="AO716">
        <v>1</v>
      </c>
      <c r="AP716" t="s">
        <v>208</v>
      </c>
      <c r="AQ716" t="s">
        <v>209</v>
      </c>
      <c r="AR716" t="s">
        <v>502</v>
      </c>
      <c r="AW716" t="s">
        <v>212</v>
      </c>
      <c r="AZ716" t="s">
        <v>209</v>
      </c>
      <c r="BI716" t="s">
        <v>212</v>
      </c>
      <c r="BJ716" t="s">
        <v>213</v>
      </c>
      <c r="BK716" t="s">
        <v>214</v>
      </c>
      <c r="BL716" t="s">
        <v>357</v>
      </c>
      <c r="BN716" t="s">
        <v>661</v>
      </c>
      <c r="BO716" t="s">
        <v>209</v>
      </c>
      <c r="BS716" t="s">
        <v>220</v>
      </c>
      <c r="BU716" t="s">
        <v>212</v>
      </c>
      <c r="BZ716" t="s">
        <v>662</v>
      </c>
      <c r="CA716" t="s">
        <v>287</v>
      </c>
      <c r="CC716" t="s">
        <v>209</v>
      </c>
      <c r="CE716" t="s">
        <v>242</v>
      </c>
      <c r="CJ716" t="s">
        <v>206</v>
      </c>
      <c r="CK716" t="s">
        <v>230</v>
      </c>
      <c r="CL716" t="s">
        <v>231</v>
      </c>
      <c r="CM716" t="s">
        <v>232</v>
      </c>
      <c r="CN716" t="s">
        <v>233</v>
      </c>
      <c r="CP716" t="s">
        <v>212</v>
      </c>
      <c r="CQ716" t="s">
        <v>212</v>
      </c>
      <c r="CR716" t="s">
        <v>212</v>
      </c>
      <c r="CS716" t="s">
        <v>212</v>
      </c>
      <c r="CY716" t="s">
        <v>212</v>
      </c>
      <c r="DB716" t="s">
        <v>653</v>
      </c>
      <c r="DC716" t="str">
        <f>"№1915 Общее недоразвитие речи 3 уровня."</f>
        <v>№1915 Общее недоразвитие речи 3 уровня.</v>
      </c>
      <c r="DD716" t="str">
        <f>"2023-12-26T00:00:00"</f>
        <v>2023-12-26T00:00:00</v>
      </c>
      <c r="DE716" t="s">
        <v>212</v>
      </c>
      <c r="DF716" t="s">
        <v>206</v>
      </c>
      <c r="DG716" t="s">
        <v>235</v>
      </c>
      <c r="DH716" t="s">
        <v>212</v>
      </c>
      <c r="DJ716" t="s">
        <v>236</v>
      </c>
      <c r="DM716" t="s">
        <v>212</v>
      </c>
      <c r="GB716" t="s">
        <v>206</v>
      </c>
    </row>
    <row r="717" spans="1:184" x14ac:dyDescent="0.3">
      <c r="A717">
        <v>22878857</v>
      </c>
      <c r="B717">
        <v>840966</v>
      </c>
      <c r="C717" t="str">
        <f>"160824603025"</f>
        <v>160824603025</v>
      </c>
      <c r="D717" t="s">
        <v>1561</v>
      </c>
      <c r="E717" t="s">
        <v>1867</v>
      </c>
      <c r="F717" t="s">
        <v>1563</v>
      </c>
      <c r="G717" s="1">
        <v>42606</v>
      </c>
      <c r="I717" t="s">
        <v>199</v>
      </c>
      <c r="J717" t="s">
        <v>200</v>
      </c>
      <c r="K717" t="s">
        <v>201</v>
      </c>
      <c r="Q717" t="s">
        <v>212</v>
      </c>
      <c r="R717" t="str">
        <f>"КАЗАХСТАН, АКМОЛИНСКАЯ, СТЕПНОГОРСК, 87, 69"</f>
        <v>КАЗАХСТАН, АКМОЛИНСКАЯ, СТЕПНОГОРСК, 87, 69</v>
      </c>
      <c r="S717" t="str">
        <f>"ҚАЗАҚСТАН, АҚМОЛА, СТЕПНОГОР, 87, 69"</f>
        <v>ҚАЗАҚСТАН, АҚМОЛА, СТЕПНОГОР, 87, 69</v>
      </c>
      <c r="T717" t="str">
        <f>"87, 69"</f>
        <v>87, 69</v>
      </c>
      <c r="U717" t="str">
        <f>"87, 69"</f>
        <v>87, 69</v>
      </c>
      <c r="AC717" t="str">
        <f>"2023-08-25T00:00:00"</f>
        <v>2023-08-25T00:00:00</v>
      </c>
      <c r="AD717" t="str">
        <f t="shared" si="34"/>
        <v>201</v>
      </c>
      <c r="AE717" t="str">
        <f>"2023-09-01T17:38:43"</f>
        <v>2023-09-01T17:38:43</v>
      </c>
      <c r="AF717" t="str">
        <f>"2024-05-25T17:38:43"</f>
        <v>2024-05-25T17:38:43</v>
      </c>
      <c r="AG717" t="s">
        <v>202</v>
      </c>
      <c r="AI717" t="s">
        <v>269</v>
      </c>
      <c r="AJ717" t="s">
        <v>660</v>
      </c>
      <c r="AK717" t="s">
        <v>205</v>
      </c>
      <c r="AL717" t="s">
        <v>206</v>
      </c>
      <c r="AN717" t="s">
        <v>207</v>
      </c>
      <c r="AO717">
        <v>1</v>
      </c>
      <c r="AP717" t="s">
        <v>208</v>
      </c>
      <c r="AQ717" t="s">
        <v>209</v>
      </c>
      <c r="AR717" t="s">
        <v>502</v>
      </c>
      <c r="AW717" t="s">
        <v>212</v>
      </c>
      <c r="AZ717" t="s">
        <v>209</v>
      </c>
      <c r="BI717" t="s">
        <v>212</v>
      </c>
      <c r="BJ717" t="s">
        <v>213</v>
      </c>
      <c r="BK717" t="s">
        <v>214</v>
      </c>
      <c r="BL717" t="s">
        <v>357</v>
      </c>
      <c r="BN717" t="s">
        <v>661</v>
      </c>
      <c r="BO717" t="s">
        <v>209</v>
      </c>
      <c r="BS717" t="s">
        <v>220</v>
      </c>
      <c r="BU717" t="s">
        <v>212</v>
      </c>
      <c r="BZ717" t="s">
        <v>662</v>
      </c>
      <c r="CA717" t="s">
        <v>287</v>
      </c>
      <c r="CC717" t="s">
        <v>224</v>
      </c>
      <c r="CD717" t="s">
        <v>349</v>
      </c>
      <c r="CE717" t="s">
        <v>242</v>
      </c>
      <c r="CJ717" t="s">
        <v>206</v>
      </c>
      <c r="CK717" t="s">
        <v>230</v>
      </c>
      <c r="CL717" t="s">
        <v>231</v>
      </c>
      <c r="CM717" t="s">
        <v>232</v>
      </c>
      <c r="CN717" t="s">
        <v>233</v>
      </c>
      <c r="CP717" t="s">
        <v>212</v>
      </c>
      <c r="CQ717" t="s">
        <v>212</v>
      </c>
      <c r="CR717" t="s">
        <v>212</v>
      </c>
      <c r="CS717" t="s">
        <v>212</v>
      </c>
      <c r="CY717" t="s">
        <v>212</v>
      </c>
      <c r="DB717" t="s">
        <v>653</v>
      </c>
      <c r="DC717" t="str">
        <f>"01100650502785 Общее  недоразвитие  речи  3 уровня"</f>
        <v>01100650502785 Общее  недоразвитие  речи  3 уровня</v>
      </c>
      <c r="DD717" t="str">
        <f>"2023-04-06T00:00:00"</f>
        <v>2023-04-06T00:00:00</v>
      </c>
      <c r="DE717" t="s">
        <v>212</v>
      </c>
      <c r="DF717" t="s">
        <v>206</v>
      </c>
      <c r="DG717" t="s">
        <v>235</v>
      </c>
      <c r="DH717" t="s">
        <v>212</v>
      </c>
      <c r="DJ717" t="s">
        <v>236</v>
      </c>
      <c r="DM717" t="s">
        <v>212</v>
      </c>
    </row>
    <row r="718" spans="1:184" x14ac:dyDescent="0.3">
      <c r="A718">
        <v>22878887</v>
      </c>
      <c r="B718">
        <v>12685245</v>
      </c>
      <c r="C718" t="str">
        <f>"160516605720"</f>
        <v>160516605720</v>
      </c>
      <c r="D718" t="s">
        <v>1031</v>
      </c>
      <c r="E718" t="s">
        <v>1868</v>
      </c>
      <c r="F718" t="s">
        <v>1869</v>
      </c>
      <c r="G718" s="1">
        <v>42506</v>
      </c>
      <c r="I718" t="s">
        <v>199</v>
      </c>
      <c r="J718" t="s">
        <v>200</v>
      </c>
      <c r="K718" t="s">
        <v>201</v>
      </c>
      <c r="R718" t="str">
        <f>"КАЗАХСТАН, АКМОЛИНСКАЯ, СТЕПНОГОРСК, Бестобе, 2"</f>
        <v>КАЗАХСТАН, АКМОЛИНСКАЯ, СТЕПНОГОРСК, Бестобе, 2</v>
      </c>
      <c r="S718" t="str">
        <f>"ҚАЗАҚСТАН, АҚМОЛА, СТЕПНОГОР, Бестобе, 2"</f>
        <v>ҚАЗАҚСТАН, АҚМОЛА, СТЕПНОГОР, Бестобе, 2</v>
      </c>
      <c r="T718" t="str">
        <f>"Бестобе, 2"</f>
        <v>Бестобе, 2</v>
      </c>
      <c r="U718" t="str">
        <f>"Бестобе, 2"</f>
        <v>Бестобе, 2</v>
      </c>
      <c r="AC718" t="str">
        <f>"2022-08-25T00:00:00"</f>
        <v>2022-08-25T00:00:00</v>
      </c>
      <c r="AD718" t="str">
        <f t="shared" si="34"/>
        <v>201</v>
      </c>
      <c r="AG718" t="s">
        <v>202</v>
      </c>
      <c r="AI718" t="s">
        <v>269</v>
      </c>
      <c r="AJ718" t="s">
        <v>660</v>
      </c>
      <c r="AK718" t="s">
        <v>434</v>
      </c>
      <c r="AL718" t="s">
        <v>206</v>
      </c>
      <c r="AN718" t="s">
        <v>254</v>
      </c>
      <c r="AO718">
        <v>1</v>
      </c>
      <c r="AP718" t="s">
        <v>208</v>
      </c>
      <c r="AQ718" t="s">
        <v>209</v>
      </c>
      <c r="AR718" t="s">
        <v>502</v>
      </c>
      <c r="AW718" t="s">
        <v>212</v>
      </c>
      <c r="AZ718" t="s">
        <v>209</v>
      </c>
      <c r="BI718" t="s">
        <v>212</v>
      </c>
      <c r="BJ718" t="s">
        <v>213</v>
      </c>
      <c r="BK718" t="s">
        <v>214</v>
      </c>
      <c r="BL718" t="s">
        <v>357</v>
      </c>
      <c r="BN718" t="s">
        <v>661</v>
      </c>
      <c r="BO718" t="s">
        <v>209</v>
      </c>
      <c r="BS718" t="s">
        <v>220</v>
      </c>
      <c r="BU718" t="s">
        <v>212</v>
      </c>
      <c r="BZ718" t="s">
        <v>662</v>
      </c>
      <c r="CA718" t="s">
        <v>287</v>
      </c>
      <c r="CC718" t="s">
        <v>209</v>
      </c>
      <c r="CE718" t="s">
        <v>242</v>
      </c>
      <c r="CJ718" t="s">
        <v>206</v>
      </c>
      <c r="CK718" t="s">
        <v>230</v>
      </c>
      <c r="CL718" t="s">
        <v>231</v>
      </c>
      <c r="CM718" t="s">
        <v>232</v>
      </c>
      <c r="CN718" t="s">
        <v>233</v>
      </c>
      <c r="CP718" t="s">
        <v>212</v>
      </c>
      <c r="CQ718" t="s">
        <v>212</v>
      </c>
      <c r="CR718" t="s">
        <v>212</v>
      </c>
      <c r="CS718" t="s">
        <v>212</v>
      </c>
      <c r="CY718" t="s">
        <v>212</v>
      </c>
      <c r="DB718" t="s">
        <v>234</v>
      </c>
      <c r="DE718" t="s">
        <v>212</v>
      </c>
      <c r="DF718" t="s">
        <v>212</v>
      </c>
      <c r="DG718" t="s">
        <v>235</v>
      </c>
      <c r="DH718" t="s">
        <v>212</v>
      </c>
      <c r="DJ718" t="s">
        <v>236</v>
      </c>
      <c r="DM718" t="s">
        <v>212</v>
      </c>
    </row>
    <row r="719" spans="1:184" x14ac:dyDescent="0.3">
      <c r="A719">
        <v>22878895</v>
      </c>
      <c r="B719">
        <v>8861897</v>
      </c>
      <c r="C719" t="str">
        <f>"170109504705"</f>
        <v>170109504705</v>
      </c>
      <c r="D719" t="s">
        <v>1870</v>
      </c>
      <c r="E719" t="s">
        <v>238</v>
      </c>
      <c r="F719" t="s">
        <v>1748</v>
      </c>
      <c r="G719" s="1">
        <v>42744</v>
      </c>
      <c r="I719" t="s">
        <v>240</v>
      </c>
      <c r="J719" t="s">
        <v>200</v>
      </c>
      <c r="K719" t="s">
        <v>201</v>
      </c>
      <c r="R719" t="str">
        <f>"КАЗАХСТАН, АКМОЛИНСКАЯ, СТЕПНОГОРСК, 38, 12"</f>
        <v>КАЗАХСТАН, АКМОЛИНСКАЯ, СТЕПНОГОРСК, 38, 12</v>
      </c>
      <c r="S719" t="str">
        <f>"ҚАЗАҚСТАН, АҚМОЛА, СТЕПНОГОР, 38, 12"</f>
        <v>ҚАЗАҚСТАН, АҚМОЛА, СТЕПНОГОР, 38, 12</v>
      </c>
      <c r="T719" t="str">
        <f>"38, 12"</f>
        <v>38, 12</v>
      </c>
      <c r="U719" t="str">
        <f>"38, 12"</f>
        <v>38, 12</v>
      </c>
      <c r="AC719" t="str">
        <f>"2023-08-25T00:00:00"</f>
        <v>2023-08-25T00:00:00</v>
      </c>
      <c r="AD719" t="str">
        <f t="shared" si="34"/>
        <v>201</v>
      </c>
      <c r="AG719" t="s">
        <v>202</v>
      </c>
      <c r="AI719" t="s">
        <v>269</v>
      </c>
      <c r="AJ719" t="s">
        <v>660</v>
      </c>
      <c r="AK719" t="s">
        <v>205</v>
      </c>
      <c r="AL719" t="s">
        <v>206</v>
      </c>
      <c r="AN719" t="s">
        <v>207</v>
      </c>
      <c r="AO719">
        <v>1</v>
      </c>
      <c r="AP719" t="s">
        <v>208</v>
      </c>
      <c r="AQ719" t="s">
        <v>209</v>
      </c>
      <c r="AR719" t="s">
        <v>502</v>
      </c>
      <c r="AW719" t="s">
        <v>212</v>
      </c>
      <c r="AZ719" t="s">
        <v>209</v>
      </c>
      <c r="BI719" t="s">
        <v>212</v>
      </c>
      <c r="BJ719" t="s">
        <v>213</v>
      </c>
      <c r="BK719" t="s">
        <v>214</v>
      </c>
      <c r="BL719" t="s">
        <v>357</v>
      </c>
      <c r="BN719" t="s">
        <v>661</v>
      </c>
      <c r="BO719" t="s">
        <v>209</v>
      </c>
      <c r="BS719" t="s">
        <v>220</v>
      </c>
      <c r="BU719" t="s">
        <v>212</v>
      </c>
      <c r="BZ719" t="s">
        <v>662</v>
      </c>
      <c r="CA719" t="s">
        <v>287</v>
      </c>
      <c r="CC719" t="s">
        <v>209</v>
      </c>
      <c r="CE719" t="s">
        <v>242</v>
      </c>
      <c r="CJ719" t="s">
        <v>206</v>
      </c>
      <c r="CK719" t="s">
        <v>230</v>
      </c>
      <c r="CL719" t="s">
        <v>231</v>
      </c>
      <c r="CM719" t="s">
        <v>232</v>
      </c>
      <c r="CN719" t="s">
        <v>233</v>
      </c>
      <c r="CP719" t="s">
        <v>212</v>
      </c>
      <c r="CQ719" t="s">
        <v>212</v>
      </c>
      <c r="CR719" t="s">
        <v>212</v>
      </c>
      <c r="CS719" t="s">
        <v>212</v>
      </c>
      <c r="CY719" t="s">
        <v>212</v>
      </c>
      <c r="DB719" t="s">
        <v>234</v>
      </c>
      <c r="DE719" t="s">
        <v>212</v>
      </c>
      <c r="DF719" t="s">
        <v>212</v>
      </c>
      <c r="DG719" t="s">
        <v>235</v>
      </c>
      <c r="DH719" t="s">
        <v>212</v>
      </c>
      <c r="DJ719" t="s">
        <v>236</v>
      </c>
      <c r="DM719" t="s">
        <v>206</v>
      </c>
      <c r="GB719" t="s">
        <v>206</v>
      </c>
    </row>
    <row r="720" spans="1:184" x14ac:dyDescent="0.3">
      <c r="A720">
        <v>22878908</v>
      </c>
      <c r="B720">
        <v>380001</v>
      </c>
      <c r="C720" t="str">
        <f>"160914601068"</f>
        <v>160914601068</v>
      </c>
      <c r="D720" t="s">
        <v>1871</v>
      </c>
      <c r="E720" t="s">
        <v>560</v>
      </c>
      <c r="F720" t="s">
        <v>863</v>
      </c>
      <c r="G720" s="1">
        <v>42627</v>
      </c>
      <c r="I720" t="s">
        <v>199</v>
      </c>
      <c r="J720" t="s">
        <v>200</v>
      </c>
      <c r="K720" t="s">
        <v>260</v>
      </c>
      <c r="R720" t="str">
        <f>"КАЗАХСТАН, АКМОЛИНСКАЯ, СТЕПНОГОРСК, Карабулак, 37"</f>
        <v>КАЗАХСТАН, АКМОЛИНСКАЯ, СТЕПНОГОРСК, Карабулак, 37</v>
      </c>
      <c r="S720" t="str">
        <f>"ҚАЗАҚСТАН, АҚМОЛА, СТЕПНОГОР, Карабулак, 37"</f>
        <v>ҚАЗАҚСТАН, АҚМОЛА, СТЕПНОГОР, Карабулак, 37</v>
      </c>
      <c r="T720" t="str">
        <f>"Карабулак, 37"</f>
        <v>Карабулак, 37</v>
      </c>
      <c r="U720" t="str">
        <f>"Карабулак, 37"</f>
        <v>Карабулак, 37</v>
      </c>
      <c r="AC720" t="str">
        <f>"2023-08-25T00:00:00"</f>
        <v>2023-08-25T00:00:00</v>
      </c>
      <c r="AD720" t="str">
        <f t="shared" si="34"/>
        <v>201</v>
      </c>
      <c r="AG720" t="s">
        <v>202</v>
      </c>
      <c r="AI720" t="s">
        <v>269</v>
      </c>
      <c r="AJ720" t="s">
        <v>660</v>
      </c>
      <c r="AK720" t="s">
        <v>205</v>
      </c>
      <c r="AL720" t="s">
        <v>206</v>
      </c>
      <c r="AN720" t="s">
        <v>207</v>
      </c>
      <c r="AO720">
        <v>1</v>
      </c>
      <c r="AP720" t="s">
        <v>208</v>
      </c>
      <c r="AQ720" t="s">
        <v>209</v>
      </c>
      <c r="AR720" t="s">
        <v>502</v>
      </c>
      <c r="AW720" t="s">
        <v>212</v>
      </c>
      <c r="AZ720" t="s">
        <v>209</v>
      </c>
      <c r="BI720" t="s">
        <v>212</v>
      </c>
      <c r="BJ720" t="s">
        <v>213</v>
      </c>
      <c r="BK720" t="s">
        <v>214</v>
      </c>
      <c r="BL720" t="s">
        <v>357</v>
      </c>
      <c r="BN720" t="s">
        <v>661</v>
      </c>
      <c r="BO720" t="s">
        <v>209</v>
      </c>
      <c r="BS720" t="s">
        <v>220</v>
      </c>
      <c r="BU720" t="s">
        <v>212</v>
      </c>
      <c r="BZ720" t="s">
        <v>662</v>
      </c>
      <c r="CA720" t="s">
        <v>287</v>
      </c>
      <c r="CC720" t="s">
        <v>209</v>
      </c>
      <c r="CE720" t="s">
        <v>242</v>
      </c>
      <c r="CJ720" t="s">
        <v>206</v>
      </c>
      <c r="CK720" t="s">
        <v>230</v>
      </c>
      <c r="CL720" t="s">
        <v>231</v>
      </c>
      <c r="CM720" t="s">
        <v>232</v>
      </c>
      <c r="CN720" t="s">
        <v>233</v>
      </c>
      <c r="CP720" t="s">
        <v>212</v>
      </c>
      <c r="CQ720" t="s">
        <v>212</v>
      </c>
      <c r="CR720" t="s">
        <v>212</v>
      </c>
      <c r="CS720" t="s">
        <v>212</v>
      </c>
      <c r="CY720" t="s">
        <v>212</v>
      </c>
      <c r="DB720" t="s">
        <v>234</v>
      </c>
      <c r="DE720" t="s">
        <v>212</v>
      </c>
      <c r="DF720" t="s">
        <v>212</v>
      </c>
      <c r="DG720" t="s">
        <v>235</v>
      </c>
      <c r="DH720" t="s">
        <v>212</v>
      </c>
      <c r="DJ720" t="s">
        <v>236</v>
      </c>
      <c r="DM720" t="s">
        <v>212</v>
      </c>
      <c r="GB720" t="s">
        <v>206</v>
      </c>
    </row>
    <row r="721" spans="1:184" x14ac:dyDescent="0.3">
      <c r="A721">
        <v>22878945</v>
      </c>
      <c r="B721">
        <v>11964856</v>
      </c>
      <c r="C721" t="str">
        <f>"161216602553"</f>
        <v>161216602553</v>
      </c>
      <c r="D721" t="s">
        <v>1872</v>
      </c>
      <c r="E721" t="s">
        <v>1873</v>
      </c>
      <c r="G721" s="1">
        <v>42720</v>
      </c>
      <c r="I721" t="s">
        <v>199</v>
      </c>
      <c r="J721" t="s">
        <v>200</v>
      </c>
      <c r="K721" t="s">
        <v>201</v>
      </c>
      <c r="Q721" t="s">
        <v>212</v>
      </c>
      <c r="R721" t="str">
        <f>"КАЗАХСТАН, АКМОЛИНСКАЯ, СТЕПНОГОРСК, 27, 23"</f>
        <v>КАЗАХСТАН, АКМОЛИНСКАЯ, СТЕПНОГОРСК, 27, 23</v>
      </c>
      <c r="S721" t="str">
        <f>"ҚАЗАҚСТАН, АҚМОЛА, СТЕПНОГОР, 27, 23"</f>
        <v>ҚАЗАҚСТАН, АҚМОЛА, СТЕПНОГОР, 27, 23</v>
      </c>
      <c r="T721" t="str">
        <f>"27, 23"</f>
        <v>27, 23</v>
      </c>
      <c r="U721" t="str">
        <f>"27, 23"</f>
        <v>27, 23</v>
      </c>
      <c r="AC721" t="str">
        <f>"2022-08-25T00:00:00"</f>
        <v>2022-08-25T00:00:00</v>
      </c>
      <c r="AD721" t="str">
        <f>"120"</f>
        <v>120</v>
      </c>
      <c r="AG721" t="s">
        <v>202</v>
      </c>
      <c r="AI721" t="s">
        <v>269</v>
      </c>
      <c r="AJ721" t="s">
        <v>660</v>
      </c>
      <c r="AK721" t="s">
        <v>253</v>
      </c>
      <c r="AL721" t="s">
        <v>206</v>
      </c>
      <c r="AN721" t="s">
        <v>254</v>
      </c>
      <c r="AO721">
        <v>1</v>
      </c>
      <c r="AP721" t="s">
        <v>208</v>
      </c>
      <c r="AQ721" t="s">
        <v>209</v>
      </c>
      <c r="AR721" t="s">
        <v>502</v>
      </c>
      <c r="AW721" t="s">
        <v>212</v>
      </c>
      <c r="AZ721" t="s">
        <v>209</v>
      </c>
      <c r="BI721" t="s">
        <v>212</v>
      </c>
      <c r="BJ721" t="s">
        <v>213</v>
      </c>
      <c r="BK721" t="s">
        <v>214</v>
      </c>
      <c r="BL721" t="s">
        <v>357</v>
      </c>
      <c r="BN721" t="s">
        <v>661</v>
      </c>
      <c r="BO721" t="s">
        <v>209</v>
      </c>
      <c r="BS721" t="s">
        <v>220</v>
      </c>
      <c r="BU721" t="s">
        <v>212</v>
      </c>
      <c r="BZ721" t="s">
        <v>662</v>
      </c>
      <c r="CA721" t="s">
        <v>287</v>
      </c>
      <c r="CC721" t="s">
        <v>209</v>
      </c>
      <c r="CE721" t="s">
        <v>242</v>
      </c>
      <c r="CJ721" t="s">
        <v>206</v>
      </c>
      <c r="CK721" t="s">
        <v>230</v>
      </c>
      <c r="CL721" t="s">
        <v>231</v>
      </c>
      <c r="CM721" t="s">
        <v>232</v>
      </c>
      <c r="CN721" t="s">
        <v>233</v>
      </c>
      <c r="CP721" t="s">
        <v>212</v>
      </c>
      <c r="CQ721" t="s">
        <v>212</v>
      </c>
      <c r="CR721" t="s">
        <v>212</v>
      </c>
      <c r="CS721" t="s">
        <v>212</v>
      </c>
      <c r="CY721" t="s">
        <v>212</v>
      </c>
      <c r="DB721" t="s">
        <v>234</v>
      </c>
      <c r="DE721" t="s">
        <v>212</v>
      </c>
      <c r="DF721" t="s">
        <v>212</v>
      </c>
      <c r="DG721" t="s">
        <v>235</v>
      </c>
      <c r="DH721" t="s">
        <v>212</v>
      </c>
      <c r="DJ721" t="s">
        <v>236</v>
      </c>
      <c r="DM721" t="s">
        <v>212</v>
      </c>
    </row>
    <row r="722" spans="1:184" x14ac:dyDescent="0.3">
      <c r="A722">
        <v>22878992</v>
      </c>
      <c r="B722">
        <v>12685257</v>
      </c>
      <c r="C722" t="str">
        <f>"170826600569"</f>
        <v>170826600569</v>
      </c>
      <c r="D722" t="s">
        <v>1874</v>
      </c>
      <c r="E722" t="s">
        <v>1875</v>
      </c>
      <c r="F722" t="s">
        <v>1876</v>
      </c>
      <c r="G722" s="1">
        <v>42973</v>
      </c>
      <c r="I722" t="s">
        <v>199</v>
      </c>
      <c r="J722" t="s">
        <v>200</v>
      </c>
      <c r="K722" t="s">
        <v>201</v>
      </c>
      <c r="Q722" t="s">
        <v>212</v>
      </c>
      <c r="R722" t="str">
        <f>"КАЗАХСТАН, АКМОЛИНСКАЯ, СТЕПНОГОРСК, 50, 23"</f>
        <v>КАЗАХСТАН, АКМОЛИНСКАЯ, СТЕПНОГОРСК, 50, 23</v>
      </c>
      <c r="S722" t="str">
        <f>"ҚАЗАҚСТАН, АҚМОЛА, СТЕПНОГОР, 50, 23"</f>
        <v>ҚАЗАҚСТАН, АҚМОЛА, СТЕПНОГОР, 50, 23</v>
      </c>
      <c r="T722" t="str">
        <f>"50, 23"</f>
        <v>50, 23</v>
      </c>
      <c r="U722" t="str">
        <f>"50, 23"</f>
        <v>50, 23</v>
      </c>
      <c r="AC722" t="str">
        <f>"2023-08-25T00:00:00"</f>
        <v>2023-08-25T00:00:00</v>
      </c>
      <c r="AD722" t="str">
        <f>"201"</f>
        <v>201</v>
      </c>
      <c r="AG722" t="s">
        <v>202</v>
      </c>
      <c r="AI722" t="s">
        <v>269</v>
      </c>
      <c r="AJ722" t="s">
        <v>660</v>
      </c>
      <c r="AK722" t="s">
        <v>253</v>
      </c>
      <c r="AL722" t="s">
        <v>206</v>
      </c>
      <c r="AN722" t="s">
        <v>254</v>
      </c>
      <c r="AO722">
        <v>1</v>
      </c>
      <c r="AP722" t="s">
        <v>208</v>
      </c>
      <c r="AQ722" t="s">
        <v>209</v>
      </c>
      <c r="AR722" t="s">
        <v>502</v>
      </c>
      <c r="AW722" t="s">
        <v>212</v>
      </c>
      <c r="AZ722" t="s">
        <v>209</v>
      </c>
      <c r="BI722" t="s">
        <v>212</v>
      </c>
      <c r="BJ722" t="s">
        <v>213</v>
      </c>
      <c r="BK722" t="s">
        <v>214</v>
      </c>
      <c r="BL722" t="s">
        <v>357</v>
      </c>
      <c r="BN722" t="s">
        <v>661</v>
      </c>
      <c r="BO722" t="s">
        <v>209</v>
      </c>
      <c r="BS722" t="s">
        <v>220</v>
      </c>
      <c r="BU722" t="s">
        <v>212</v>
      </c>
      <c r="BZ722" t="s">
        <v>662</v>
      </c>
      <c r="CA722" t="s">
        <v>287</v>
      </c>
      <c r="CC722" t="s">
        <v>209</v>
      </c>
      <c r="CE722" t="s">
        <v>242</v>
      </c>
      <c r="CJ722" t="s">
        <v>206</v>
      </c>
      <c r="CK722" t="s">
        <v>230</v>
      </c>
      <c r="CL722" t="s">
        <v>231</v>
      </c>
      <c r="CM722" t="s">
        <v>232</v>
      </c>
      <c r="CN722" t="s">
        <v>233</v>
      </c>
      <c r="CP722" t="s">
        <v>212</v>
      </c>
      <c r="CQ722" t="s">
        <v>212</v>
      </c>
      <c r="CR722" t="s">
        <v>212</v>
      </c>
      <c r="CS722" t="s">
        <v>212</v>
      </c>
      <c r="CY722" t="s">
        <v>212</v>
      </c>
      <c r="DB722" t="s">
        <v>234</v>
      </c>
      <c r="DE722" t="s">
        <v>212</v>
      </c>
      <c r="DF722" t="s">
        <v>212</v>
      </c>
      <c r="DG722" t="s">
        <v>235</v>
      </c>
      <c r="DH722" t="s">
        <v>212</v>
      </c>
      <c r="DJ722" t="s">
        <v>236</v>
      </c>
      <c r="DM722" t="s">
        <v>212</v>
      </c>
      <c r="GB722" t="s">
        <v>206</v>
      </c>
    </row>
    <row r="723" spans="1:184" x14ac:dyDescent="0.3">
      <c r="A723">
        <v>22879011</v>
      </c>
      <c r="B723">
        <v>12685262</v>
      </c>
      <c r="C723" t="str">
        <f>"170711600414"</f>
        <v>170711600414</v>
      </c>
      <c r="D723" t="s">
        <v>926</v>
      </c>
      <c r="E723" t="s">
        <v>1877</v>
      </c>
      <c r="F723" t="s">
        <v>928</v>
      </c>
      <c r="G723" s="1">
        <v>42927</v>
      </c>
      <c r="I723" t="s">
        <v>199</v>
      </c>
      <c r="J723" t="s">
        <v>200</v>
      </c>
      <c r="K723" t="s">
        <v>201</v>
      </c>
      <c r="R723" t="str">
        <f>"КАЗАХСТАН, НУР-СУЛТАН, САРЫАРКА РАЙОН, -, 37"</f>
        <v>КАЗАХСТАН, НУР-СУЛТАН, САРЫАРКА РАЙОН, -, 37</v>
      </c>
      <c r="S723" t="str">
        <f>"ҚАЗАҚСТАН, НҰР-СҰЛТАН, САРЫАРҚА АУДАНЫ, -, 37"</f>
        <v>ҚАЗАҚСТАН, НҰР-СҰЛТАН, САРЫАРҚА АУДАНЫ, -, 37</v>
      </c>
      <c r="T723" t="str">
        <f>"-, 37"</f>
        <v>-, 37</v>
      </c>
      <c r="U723" t="str">
        <f>"-, 37"</f>
        <v>-, 37</v>
      </c>
      <c r="AC723" t="str">
        <f t="shared" ref="AC723:AC736" si="36">"2022-08-25T00:00:00"</f>
        <v>2022-08-25T00:00:00</v>
      </c>
      <c r="AD723" t="str">
        <f>"201"</f>
        <v>201</v>
      </c>
      <c r="AG723" t="s">
        <v>202</v>
      </c>
      <c r="AI723" t="s">
        <v>269</v>
      </c>
      <c r="AJ723" t="s">
        <v>660</v>
      </c>
      <c r="AK723" t="s">
        <v>434</v>
      </c>
      <c r="AL723" t="s">
        <v>206</v>
      </c>
      <c r="AN723" t="s">
        <v>254</v>
      </c>
      <c r="AO723">
        <v>1</v>
      </c>
      <c r="AP723" t="s">
        <v>208</v>
      </c>
      <c r="AQ723" t="s">
        <v>209</v>
      </c>
      <c r="AR723" t="s">
        <v>502</v>
      </c>
      <c r="AW723" t="s">
        <v>212</v>
      </c>
      <c r="AZ723" t="s">
        <v>209</v>
      </c>
      <c r="BI723" t="s">
        <v>212</v>
      </c>
      <c r="BJ723" t="s">
        <v>213</v>
      </c>
      <c r="BK723" t="s">
        <v>214</v>
      </c>
      <c r="BL723" t="s">
        <v>357</v>
      </c>
      <c r="BN723" t="s">
        <v>661</v>
      </c>
      <c r="BO723" t="s">
        <v>209</v>
      </c>
      <c r="BS723" t="s">
        <v>220</v>
      </c>
      <c r="BU723" t="s">
        <v>212</v>
      </c>
      <c r="BZ723" t="s">
        <v>662</v>
      </c>
      <c r="CA723" t="s">
        <v>287</v>
      </c>
      <c r="CC723" t="s">
        <v>209</v>
      </c>
      <c r="CE723" t="s">
        <v>242</v>
      </c>
      <c r="CJ723" t="s">
        <v>206</v>
      </c>
      <c r="CK723" t="s">
        <v>230</v>
      </c>
      <c r="CL723" t="s">
        <v>231</v>
      </c>
      <c r="CM723" t="s">
        <v>232</v>
      </c>
      <c r="CN723" t="s">
        <v>233</v>
      </c>
      <c r="CP723" t="s">
        <v>212</v>
      </c>
      <c r="CQ723" t="s">
        <v>212</v>
      </c>
      <c r="CR723" t="s">
        <v>212</v>
      </c>
      <c r="CS723" t="s">
        <v>212</v>
      </c>
      <c r="CY723" t="s">
        <v>212</v>
      </c>
      <c r="DB723" t="s">
        <v>234</v>
      </c>
      <c r="DE723" t="s">
        <v>212</v>
      </c>
      <c r="DF723" t="s">
        <v>212</v>
      </c>
      <c r="DG723" t="s">
        <v>235</v>
      </c>
      <c r="DH723" t="s">
        <v>212</v>
      </c>
      <c r="DJ723" t="s">
        <v>236</v>
      </c>
      <c r="DM723" t="s">
        <v>212</v>
      </c>
      <c r="GB723" t="s">
        <v>206</v>
      </c>
    </row>
    <row r="724" spans="1:184" x14ac:dyDescent="0.3">
      <c r="A724">
        <v>22879039</v>
      </c>
      <c r="B724">
        <v>9983272</v>
      </c>
      <c r="C724" t="str">
        <f>"170316504651"</f>
        <v>170316504651</v>
      </c>
      <c r="D724" t="s">
        <v>1878</v>
      </c>
      <c r="E724" t="s">
        <v>1879</v>
      </c>
      <c r="F724" t="s">
        <v>1880</v>
      </c>
      <c r="G724" s="1">
        <v>42810</v>
      </c>
      <c r="I724" t="s">
        <v>240</v>
      </c>
      <c r="J724" t="s">
        <v>200</v>
      </c>
      <c r="K724" t="s">
        <v>201</v>
      </c>
      <c r="Q724" t="s">
        <v>212</v>
      </c>
      <c r="R724" t="str">
        <f>"КАЗАХСТАН, АКМОЛИНСКАЯ, СТЕПНОГОРСК, 70, 39"</f>
        <v>КАЗАХСТАН, АКМОЛИНСКАЯ, СТЕПНОГОРСК, 70, 39</v>
      </c>
      <c r="S724" t="str">
        <f>"ҚАЗАҚСТАН, АҚМОЛА, СТЕПНОГОР, 70, 39"</f>
        <v>ҚАЗАҚСТАН, АҚМОЛА, СТЕПНОГОР, 70, 39</v>
      </c>
      <c r="T724" t="str">
        <f>"70, 39"</f>
        <v>70, 39</v>
      </c>
      <c r="U724" t="str">
        <f>"70, 39"</f>
        <v>70, 39</v>
      </c>
      <c r="AC724" t="str">
        <f t="shared" si="36"/>
        <v>2022-08-25T00:00:00</v>
      </c>
      <c r="AD724" t="str">
        <f>"201"</f>
        <v>201</v>
      </c>
      <c r="AG724" t="s">
        <v>202</v>
      </c>
      <c r="AI724" t="s">
        <v>269</v>
      </c>
      <c r="AJ724" t="s">
        <v>660</v>
      </c>
      <c r="AK724" t="s">
        <v>261</v>
      </c>
      <c r="AL724" t="s">
        <v>206</v>
      </c>
      <c r="AN724" t="s">
        <v>207</v>
      </c>
      <c r="AO724">
        <v>1</v>
      </c>
      <c r="AP724" t="s">
        <v>208</v>
      </c>
      <c r="AQ724" t="s">
        <v>209</v>
      </c>
      <c r="AR724" t="s">
        <v>502</v>
      </c>
      <c r="AW724" t="s">
        <v>212</v>
      </c>
      <c r="AZ724" t="s">
        <v>209</v>
      </c>
      <c r="BI724" t="s">
        <v>212</v>
      </c>
      <c r="BJ724" t="s">
        <v>213</v>
      </c>
      <c r="BK724" t="s">
        <v>214</v>
      </c>
      <c r="BL724" t="s">
        <v>357</v>
      </c>
      <c r="BN724" t="s">
        <v>661</v>
      </c>
      <c r="BO724" t="s">
        <v>209</v>
      </c>
      <c r="BS724" t="s">
        <v>220</v>
      </c>
      <c r="BU724" t="s">
        <v>212</v>
      </c>
      <c r="BZ724" t="s">
        <v>662</v>
      </c>
      <c r="CA724" t="s">
        <v>287</v>
      </c>
      <c r="CC724" t="s">
        <v>209</v>
      </c>
      <c r="CE724" t="s">
        <v>242</v>
      </c>
      <c r="CJ724" t="s">
        <v>206</v>
      </c>
      <c r="CK724" t="s">
        <v>230</v>
      </c>
      <c r="CL724" t="s">
        <v>231</v>
      </c>
      <c r="CM724" t="s">
        <v>232</v>
      </c>
      <c r="CN724" t="s">
        <v>233</v>
      </c>
      <c r="CP724" t="s">
        <v>212</v>
      </c>
      <c r="CQ724" t="s">
        <v>212</v>
      </c>
      <c r="CR724" t="s">
        <v>212</v>
      </c>
      <c r="CS724" t="s">
        <v>212</v>
      </c>
      <c r="CY724" t="s">
        <v>212</v>
      </c>
      <c r="DB724" t="s">
        <v>234</v>
      </c>
      <c r="DE724" t="s">
        <v>212</v>
      </c>
      <c r="DF724" t="s">
        <v>212</v>
      </c>
      <c r="DG724" t="s">
        <v>235</v>
      </c>
      <c r="DH724" t="s">
        <v>212</v>
      </c>
      <c r="DJ724" t="s">
        <v>236</v>
      </c>
      <c r="DM724" t="s">
        <v>212</v>
      </c>
      <c r="GB724" t="s">
        <v>206</v>
      </c>
    </row>
    <row r="725" spans="1:184" x14ac:dyDescent="0.3">
      <c r="A725">
        <v>22879050</v>
      </c>
      <c r="B725">
        <v>9683276</v>
      </c>
      <c r="C725" t="str">
        <f>"170216602678"</f>
        <v>170216602678</v>
      </c>
      <c r="D725" t="s">
        <v>1881</v>
      </c>
      <c r="E725" t="s">
        <v>811</v>
      </c>
      <c r="F725" t="s">
        <v>1074</v>
      </c>
      <c r="G725" s="1">
        <v>42782</v>
      </c>
      <c r="I725" t="s">
        <v>199</v>
      </c>
      <c r="J725" t="s">
        <v>200</v>
      </c>
      <c r="K725" t="s">
        <v>201</v>
      </c>
      <c r="Q725" t="s">
        <v>212</v>
      </c>
      <c r="R725" t="str">
        <f>"КАЗАХСТАН, АКМОЛИНСКАЯ, СТЕПНОГОРСК, 29, 60"</f>
        <v>КАЗАХСТАН, АКМОЛИНСКАЯ, СТЕПНОГОРСК, 29, 60</v>
      </c>
      <c r="S725" t="str">
        <f>"ҚАЗАҚСТАН, АҚМОЛА, СТЕПНОГОР, 29, 60"</f>
        <v>ҚАЗАҚСТАН, АҚМОЛА, СТЕПНОГОР, 29, 60</v>
      </c>
      <c r="T725" t="str">
        <f>"29, 60"</f>
        <v>29, 60</v>
      </c>
      <c r="U725" t="str">
        <f>"29, 60"</f>
        <v>29, 60</v>
      </c>
      <c r="AC725" t="str">
        <f t="shared" si="36"/>
        <v>2022-08-25T00:00:00</v>
      </c>
      <c r="AD725" t="str">
        <f>"120"</f>
        <v>120</v>
      </c>
      <c r="AG725" t="s">
        <v>202</v>
      </c>
      <c r="AI725" t="s">
        <v>269</v>
      </c>
      <c r="AJ725" t="s">
        <v>660</v>
      </c>
      <c r="AK725" t="s">
        <v>434</v>
      </c>
      <c r="AL725" t="s">
        <v>206</v>
      </c>
      <c r="AN725" t="s">
        <v>254</v>
      </c>
      <c r="AO725">
        <v>1</v>
      </c>
      <c r="AP725" t="s">
        <v>208</v>
      </c>
      <c r="AQ725" t="s">
        <v>209</v>
      </c>
      <c r="AR725" t="s">
        <v>502</v>
      </c>
      <c r="AW725" t="s">
        <v>212</v>
      </c>
      <c r="AZ725" t="s">
        <v>209</v>
      </c>
      <c r="BI725" t="s">
        <v>212</v>
      </c>
      <c r="BJ725" t="s">
        <v>213</v>
      </c>
      <c r="BK725" t="s">
        <v>214</v>
      </c>
      <c r="BL725" t="s">
        <v>357</v>
      </c>
      <c r="BN725" t="s">
        <v>661</v>
      </c>
      <c r="BO725" t="s">
        <v>209</v>
      </c>
      <c r="BS725" t="s">
        <v>220</v>
      </c>
      <c r="BU725" t="s">
        <v>212</v>
      </c>
      <c r="BZ725" t="s">
        <v>662</v>
      </c>
      <c r="CA725" t="s">
        <v>287</v>
      </c>
      <c r="CC725" t="s">
        <v>209</v>
      </c>
      <c r="CE725" t="s">
        <v>242</v>
      </c>
      <c r="CJ725" t="s">
        <v>206</v>
      </c>
      <c r="CK725" t="s">
        <v>230</v>
      </c>
      <c r="CL725" t="s">
        <v>231</v>
      </c>
      <c r="CM725" t="s">
        <v>232</v>
      </c>
      <c r="CN725" t="s">
        <v>233</v>
      </c>
      <c r="CP725" t="s">
        <v>212</v>
      </c>
      <c r="CQ725" t="s">
        <v>212</v>
      </c>
      <c r="CR725" t="s">
        <v>212</v>
      </c>
      <c r="CS725" t="s">
        <v>212</v>
      </c>
      <c r="CY725" t="s">
        <v>212</v>
      </c>
      <c r="DB725" t="s">
        <v>234</v>
      </c>
      <c r="DE725" t="s">
        <v>212</v>
      </c>
      <c r="DF725" t="s">
        <v>212</v>
      </c>
      <c r="DG725" t="s">
        <v>235</v>
      </c>
      <c r="DH725" t="s">
        <v>212</v>
      </c>
      <c r="DI725" t="s">
        <v>1882</v>
      </c>
      <c r="DJ725" t="s">
        <v>236</v>
      </c>
      <c r="DM725" t="s">
        <v>206</v>
      </c>
      <c r="GB725" t="s">
        <v>206</v>
      </c>
    </row>
    <row r="726" spans="1:184" x14ac:dyDescent="0.3">
      <c r="A726">
        <v>22879062</v>
      </c>
      <c r="B726">
        <v>9936515</v>
      </c>
      <c r="C726" t="str">
        <f>"161111505359"</f>
        <v>161111505359</v>
      </c>
      <c r="D726" t="s">
        <v>1883</v>
      </c>
      <c r="E726" t="s">
        <v>1884</v>
      </c>
      <c r="F726" t="s">
        <v>1885</v>
      </c>
      <c r="G726" s="1">
        <v>42685</v>
      </c>
      <c r="I726" t="s">
        <v>240</v>
      </c>
      <c r="J726" t="s">
        <v>200</v>
      </c>
      <c r="K726" t="s">
        <v>201</v>
      </c>
      <c r="Q726" t="s">
        <v>212</v>
      </c>
      <c r="R726" t="str">
        <f>"КАЗАХСТАН, АКМОЛИНСКАЯ, СТЕПНОГОРСК, 45, 27"</f>
        <v>КАЗАХСТАН, АКМОЛИНСКАЯ, СТЕПНОГОРСК, 45, 27</v>
      </c>
      <c r="S726" t="str">
        <f>"ҚАЗАҚСТАН, АҚМОЛА, СТЕПНОГОР, 45, 27"</f>
        <v>ҚАЗАҚСТАН, АҚМОЛА, СТЕПНОГОР, 45, 27</v>
      </c>
      <c r="T726" t="str">
        <f>"45, 27"</f>
        <v>45, 27</v>
      </c>
      <c r="U726" t="str">
        <f>"45, 27"</f>
        <v>45, 27</v>
      </c>
      <c r="AC726" t="str">
        <f t="shared" si="36"/>
        <v>2022-08-25T00:00:00</v>
      </c>
      <c r="AD726" t="str">
        <f>"201"</f>
        <v>201</v>
      </c>
      <c r="AE726" t="str">
        <f>"2023-09-01T17:29:57"</f>
        <v>2023-09-01T17:29:57</v>
      </c>
      <c r="AF726" t="str">
        <f>"2024-05-25T17:29:57"</f>
        <v>2024-05-25T17:29:57</v>
      </c>
      <c r="AG726" t="s">
        <v>202</v>
      </c>
      <c r="AI726" t="s">
        <v>269</v>
      </c>
      <c r="AJ726" t="s">
        <v>660</v>
      </c>
      <c r="AK726" t="s">
        <v>434</v>
      </c>
      <c r="AL726" t="s">
        <v>206</v>
      </c>
      <c r="AN726" t="s">
        <v>254</v>
      </c>
      <c r="AO726">
        <v>1</v>
      </c>
      <c r="AP726" t="s">
        <v>208</v>
      </c>
      <c r="AQ726" t="s">
        <v>209</v>
      </c>
      <c r="AR726" t="s">
        <v>502</v>
      </c>
      <c r="AW726" t="s">
        <v>212</v>
      </c>
      <c r="AZ726" t="s">
        <v>209</v>
      </c>
      <c r="BI726" t="s">
        <v>212</v>
      </c>
      <c r="BJ726" t="s">
        <v>213</v>
      </c>
      <c r="BK726" t="s">
        <v>214</v>
      </c>
      <c r="BL726" t="s">
        <v>357</v>
      </c>
      <c r="BN726" t="s">
        <v>661</v>
      </c>
      <c r="BO726" t="s">
        <v>209</v>
      </c>
      <c r="BS726" t="s">
        <v>220</v>
      </c>
      <c r="BU726" t="s">
        <v>212</v>
      </c>
      <c r="BZ726" t="s">
        <v>662</v>
      </c>
      <c r="CA726" t="s">
        <v>287</v>
      </c>
      <c r="CC726" t="s">
        <v>404</v>
      </c>
      <c r="CD726" t="s">
        <v>349</v>
      </c>
      <c r="CE726" t="s">
        <v>242</v>
      </c>
      <c r="CJ726" t="s">
        <v>206</v>
      </c>
      <c r="CK726" t="s">
        <v>230</v>
      </c>
      <c r="CL726" t="s">
        <v>231</v>
      </c>
      <c r="CM726" t="s">
        <v>232</v>
      </c>
      <c r="CN726" t="s">
        <v>233</v>
      </c>
      <c r="CP726" t="s">
        <v>212</v>
      </c>
      <c r="CQ726" t="s">
        <v>212</v>
      </c>
      <c r="CR726" t="s">
        <v>212</v>
      </c>
      <c r="CS726" t="s">
        <v>212</v>
      </c>
      <c r="CY726" t="s">
        <v>212</v>
      </c>
      <c r="DB726" t="s">
        <v>234</v>
      </c>
      <c r="DE726" t="s">
        <v>212</v>
      </c>
      <c r="DF726" t="s">
        <v>212</v>
      </c>
      <c r="DG726" t="s">
        <v>235</v>
      </c>
      <c r="DH726" t="s">
        <v>212</v>
      </c>
      <c r="DJ726" t="s">
        <v>236</v>
      </c>
      <c r="DM726" t="s">
        <v>212</v>
      </c>
      <c r="GB726" t="s">
        <v>206</v>
      </c>
    </row>
    <row r="727" spans="1:184" x14ac:dyDescent="0.3">
      <c r="A727">
        <v>22879070</v>
      </c>
      <c r="B727">
        <v>12685272</v>
      </c>
      <c r="C727" t="str">
        <f>"160723504454"</f>
        <v>160723504454</v>
      </c>
      <c r="D727" t="s">
        <v>769</v>
      </c>
      <c r="E727" t="s">
        <v>1380</v>
      </c>
      <c r="F727" t="s">
        <v>1886</v>
      </c>
      <c r="G727" s="1">
        <v>42574</v>
      </c>
      <c r="I727" t="s">
        <v>240</v>
      </c>
      <c r="J727" t="s">
        <v>200</v>
      </c>
      <c r="K727" t="s">
        <v>201</v>
      </c>
      <c r="Q727" t="s">
        <v>212</v>
      </c>
      <c r="R727" t="str">
        <f>"КАЗАХСТАН, АКМОЛИНСКАЯ, СТЕПНОГОРСК, Бестобе, 18, 2"</f>
        <v>КАЗАХСТАН, АКМОЛИНСКАЯ, СТЕПНОГОРСК, Бестобе, 18, 2</v>
      </c>
      <c r="S727" t="str">
        <f>"ҚАЗАҚСТАН, АҚМОЛА, СТЕПНОГОР, Бестобе, 18, 2"</f>
        <v>ҚАЗАҚСТАН, АҚМОЛА, СТЕПНОГОР, Бестобе, 18, 2</v>
      </c>
      <c r="T727" t="str">
        <f>"Бестобе, 18, 2"</f>
        <v>Бестобе, 18, 2</v>
      </c>
      <c r="U727" t="str">
        <f>"Бестобе, 18, 2"</f>
        <v>Бестобе, 18, 2</v>
      </c>
      <c r="AC727" t="str">
        <f t="shared" si="36"/>
        <v>2022-08-25T00:00:00</v>
      </c>
      <c r="AD727" t="str">
        <f>"201"</f>
        <v>201</v>
      </c>
      <c r="AG727" t="s">
        <v>202</v>
      </c>
      <c r="AI727" t="s">
        <v>269</v>
      </c>
      <c r="AJ727" t="s">
        <v>660</v>
      </c>
      <c r="AK727" t="s">
        <v>434</v>
      </c>
      <c r="AL727" t="s">
        <v>206</v>
      </c>
      <c r="AN727" t="s">
        <v>254</v>
      </c>
      <c r="AO727">
        <v>1</v>
      </c>
      <c r="AP727" t="s">
        <v>208</v>
      </c>
      <c r="AQ727" t="s">
        <v>209</v>
      </c>
      <c r="AR727" t="s">
        <v>210</v>
      </c>
      <c r="AW727" t="s">
        <v>206</v>
      </c>
      <c r="AX727" t="s">
        <v>211</v>
      </c>
      <c r="AZ727" t="s">
        <v>209</v>
      </c>
      <c r="BI727" t="s">
        <v>212</v>
      </c>
      <c r="BJ727" t="s">
        <v>213</v>
      </c>
      <c r="BK727" t="s">
        <v>214</v>
      </c>
      <c r="BL727" t="s">
        <v>357</v>
      </c>
      <c r="BN727" t="s">
        <v>661</v>
      </c>
      <c r="BO727" t="s">
        <v>209</v>
      </c>
      <c r="BS727" t="s">
        <v>220</v>
      </c>
      <c r="BU727" t="s">
        <v>212</v>
      </c>
      <c r="BZ727" t="s">
        <v>662</v>
      </c>
      <c r="CA727" t="s">
        <v>287</v>
      </c>
      <c r="CC727" t="s">
        <v>209</v>
      </c>
      <c r="CE727" t="s">
        <v>242</v>
      </c>
      <c r="CJ727" t="s">
        <v>206</v>
      </c>
      <c r="CK727" t="s">
        <v>230</v>
      </c>
      <c r="CL727" t="s">
        <v>231</v>
      </c>
      <c r="CM727" t="s">
        <v>232</v>
      </c>
      <c r="CN727" t="s">
        <v>233</v>
      </c>
      <c r="CP727" t="s">
        <v>212</v>
      </c>
      <c r="CQ727" t="s">
        <v>212</v>
      </c>
      <c r="CR727" t="s">
        <v>212</v>
      </c>
      <c r="CS727" t="s">
        <v>212</v>
      </c>
      <c r="CY727" t="s">
        <v>212</v>
      </c>
      <c r="DB727" t="s">
        <v>234</v>
      </c>
      <c r="DE727" t="s">
        <v>212</v>
      </c>
      <c r="DF727" t="s">
        <v>212</v>
      </c>
      <c r="DG727" t="s">
        <v>235</v>
      </c>
      <c r="DH727" t="s">
        <v>212</v>
      </c>
      <c r="DJ727" t="s">
        <v>236</v>
      </c>
      <c r="DM727" t="s">
        <v>212</v>
      </c>
      <c r="GB727" t="s">
        <v>206</v>
      </c>
    </row>
    <row r="728" spans="1:184" x14ac:dyDescent="0.3">
      <c r="A728">
        <v>22879152</v>
      </c>
      <c r="B728">
        <v>11255050</v>
      </c>
      <c r="C728" t="str">
        <f>"170212600362"</f>
        <v>170212600362</v>
      </c>
      <c r="D728" t="s">
        <v>462</v>
      </c>
      <c r="E728" t="s">
        <v>1121</v>
      </c>
      <c r="F728" t="s">
        <v>1175</v>
      </c>
      <c r="G728" s="1">
        <v>42778</v>
      </c>
      <c r="I728" t="s">
        <v>199</v>
      </c>
      <c r="J728" t="s">
        <v>200</v>
      </c>
      <c r="K728" t="s">
        <v>201</v>
      </c>
      <c r="R728" t="str">
        <f>"КАЗАХСТАН, АКМОЛИНСКАЯ, СТЕПНОГОРСК, 50, 18"</f>
        <v>КАЗАХСТАН, АКМОЛИНСКАЯ, СТЕПНОГОРСК, 50, 18</v>
      </c>
      <c r="S728" t="str">
        <f>"ҚАЗАҚСТАН, АҚМОЛА, СТЕПНОГОР, 50, 18"</f>
        <v>ҚАЗАҚСТАН, АҚМОЛА, СТЕПНОГОР, 50, 18</v>
      </c>
      <c r="T728" t="str">
        <f>"50, 18"</f>
        <v>50, 18</v>
      </c>
      <c r="U728" t="str">
        <f>"50, 18"</f>
        <v>50, 18</v>
      </c>
      <c r="AC728" t="str">
        <f t="shared" si="36"/>
        <v>2022-08-25T00:00:00</v>
      </c>
      <c r="AD728" t="str">
        <f>"120"</f>
        <v>120</v>
      </c>
      <c r="AG728" t="s">
        <v>202</v>
      </c>
      <c r="AI728" t="s">
        <v>269</v>
      </c>
      <c r="AJ728" t="s">
        <v>660</v>
      </c>
      <c r="AK728" t="s">
        <v>253</v>
      </c>
      <c r="AL728" t="s">
        <v>206</v>
      </c>
      <c r="AN728" t="s">
        <v>254</v>
      </c>
      <c r="AO728">
        <v>1</v>
      </c>
      <c r="AP728" t="s">
        <v>208</v>
      </c>
      <c r="AQ728" t="s">
        <v>209</v>
      </c>
      <c r="AR728" t="s">
        <v>502</v>
      </c>
      <c r="AW728" t="s">
        <v>212</v>
      </c>
      <c r="AZ728" t="s">
        <v>209</v>
      </c>
      <c r="BI728" t="s">
        <v>212</v>
      </c>
      <c r="BJ728" t="s">
        <v>213</v>
      </c>
      <c r="BK728" t="s">
        <v>214</v>
      </c>
      <c r="BL728" t="s">
        <v>357</v>
      </c>
      <c r="BN728" t="s">
        <v>661</v>
      </c>
      <c r="BO728" t="s">
        <v>209</v>
      </c>
      <c r="BS728" t="s">
        <v>220</v>
      </c>
      <c r="BU728" t="s">
        <v>212</v>
      </c>
      <c r="BZ728" t="s">
        <v>662</v>
      </c>
      <c r="CA728" t="s">
        <v>287</v>
      </c>
      <c r="CC728" t="s">
        <v>209</v>
      </c>
      <c r="CE728" t="s">
        <v>242</v>
      </c>
      <c r="CJ728" t="s">
        <v>206</v>
      </c>
      <c r="CK728" t="s">
        <v>230</v>
      </c>
      <c r="CL728" t="s">
        <v>231</v>
      </c>
      <c r="CM728" t="s">
        <v>232</v>
      </c>
      <c r="CN728" t="s">
        <v>233</v>
      </c>
      <c r="CP728" t="s">
        <v>212</v>
      </c>
      <c r="CQ728" t="s">
        <v>212</v>
      </c>
      <c r="CR728" t="s">
        <v>212</v>
      </c>
      <c r="CS728" t="s">
        <v>212</v>
      </c>
      <c r="CY728" t="s">
        <v>212</v>
      </c>
      <c r="DB728" t="s">
        <v>234</v>
      </c>
      <c r="DE728" t="s">
        <v>212</v>
      </c>
      <c r="DF728" t="s">
        <v>212</v>
      </c>
      <c r="DG728" t="s">
        <v>235</v>
      </c>
      <c r="DH728" t="s">
        <v>212</v>
      </c>
      <c r="DJ728" t="s">
        <v>236</v>
      </c>
      <c r="DM728" t="s">
        <v>212</v>
      </c>
      <c r="GB728" t="s">
        <v>206</v>
      </c>
    </row>
    <row r="729" spans="1:184" x14ac:dyDescent="0.3">
      <c r="A729">
        <v>22879161</v>
      </c>
      <c r="B729">
        <v>9650928</v>
      </c>
      <c r="C729" t="str">
        <f>"170501501424"</f>
        <v>170501501424</v>
      </c>
      <c r="D729" t="s">
        <v>585</v>
      </c>
      <c r="E729" t="s">
        <v>1380</v>
      </c>
      <c r="F729" t="s">
        <v>1398</v>
      </c>
      <c r="G729" s="1">
        <v>42856</v>
      </c>
      <c r="I729" t="s">
        <v>240</v>
      </c>
      <c r="J729" t="s">
        <v>200</v>
      </c>
      <c r="K729" t="s">
        <v>201</v>
      </c>
      <c r="Q729" t="s">
        <v>212</v>
      </c>
      <c r="R729" t="str">
        <f>"КАЗАХСТАН, АКМОЛИНСКАЯ, СТЕПНОГОРСК, Бестобе, 44"</f>
        <v>КАЗАХСТАН, АКМОЛИНСКАЯ, СТЕПНОГОРСК, Бестобе, 44</v>
      </c>
      <c r="S729" t="str">
        <f>"ҚАЗАҚСТАН, АҚМОЛА, СТЕПНОГОР, Бестобе, 44"</f>
        <v>ҚАЗАҚСТАН, АҚМОЛА, СТЕПНОГОР, Бестобе, 44</v>
      </c>
      <c r="T729" t="str">
        <f>"Бестобе, 44"</f>
        <v>Бестобе, 44</v>
      </c>
      <c r="U729" t="str">
        <f>"Бестобе, 44"</f>
        <v>Бестобе, 44</v>
      </c>
      <c r="AC729" t="str">
        <f t="shared" si="36"/>
        <v>2022-08-25T00:00:00</v>
      </c>
      <c r="AD729" t="str">
        <f>"201"</f>
        <v>201</v>
      </c>
      <c r="AE729" t="str">
        <f>"2023-09-01T17:32:42"</f>
        <v>2023-09-01T17:32:42</v>
      </c>
      <c r="AF729" t="str">
        <f>"2024-05-25T17:32:42"</f>
        <v>2024-05-25T17:32:42</v>
      </c>
      <c r="AG729" t="s">
        <v>202</v>
      </c>
      <c r="AI729" t="s">
        <v>269</v>
      </c>
      <c r="AJ729" t="s">
        <v>660</v>
      </c>
      <c r="AK729" t="s">
        <v>434</v>
      </c>
      <c r="AL729" t="s">
        <v>206</v>
      </c>
      <c r="AN729" t="s">
        <v>254</v>
      </c>
      <c r="AO729">
        <v>1</v>
      </c>
      <c r="AP729" t="s">
        <v>208</v>
      </c>
      <c r="AQ729" t="s">
        <v>209</v>
      </c>
      <c r="AR729" t="s">
        <v>502</v>
      </c>
      <c r="AW729" t="s">
        <v>212</v>
      </c>
      <c r="AZ729" t="s">
        <v>209</v>
      </c>
      <c r="BI729" t="s">
        <v>212</v>
      </c>
      <c r="BJ729" t="s">
        <v>213</v>
      </c>
      <c r="BK729" t="s">
        <v>214</v>
      </c>
      <c r="BL729" t="s">
        <v>357</v>
      </c>
      <c r="BN729" t="s">
        <v>661</v>
      </c>
      <c r="BO729" t="s">
        <v>209</v>
      </c>
      <c r="BS729" t="s">
        <v>220</v>
      </c>
      <c r="BU729" t="s">
        <v>212</v>
      </c>
      <c r="BZ729" t="s">
        <v>662</v>
      </c>
      <c r="CA729" t="s">
        <v>287</v>
      </c>
      <c r="CC729" t="s">
        <v>404</v>
      </c>
      <c r="CD729" t="s">
        <v>223</v>
      </c>
      <c r="CE729" t="s">
        <v>242</v>
      </c>
      <c r="CJ729" t="s">
        <v>206</v>
      </c>
      <c r="CK729" t="s">
        <v>230</v>
      </c>
      <c r="CL729" t="s">
        <v>231</v>
      </c>
      <c r="CM729" t="s">
        <v>232</v>
      </c>
      <c r="CN729" t="s">
        <v>233</v>
      </c>
      <c r="CP729" t="s">
        <v>212</v>
      </c>
      <c r="CQ729" t="s">
        <v>212</v>
      </c>
      <c r="CR729" t="s">
        <v>212</v>
      </c>
      <c r="CS729" t="s">
        <v>212</v>
      </c>
      <c r="CY729" t="s">
        <v>212</v>
      </c>
      <c r="DB729" t="s">
        <v>234</v>
      </c>
      <c r="DE729" t="s">
        <v>212</v>
      </c>
      <c r="DF729" t="s">
        <v>212</v>
      </c>
      <c r="DG729" t="s">
        <v>235</v>
      </c>
      <c r="DH729" t="s">
        <v>212</v>
      </c>
      <c r="DJ729" t="s">
        <v>236</v>
      </c>
      <c r="DM729" t="s">
        <v>206</v>
      </c>
      <c r="GB729" t="s">
        <v>206</v>
      </c>
    </row>
    <row r="730" spans="1:184" x14ac:dyDescent="0.3">
      <c r="A730">
        <v>22879195</v>
      </c>
      <c r="B730">
        <v>7388023</v>
      </c>
      <c r="C730" t="str">
        <f>"160802602835"</f>
        <v>160802602835</v>
      </c>
      <c r="D730" t="s">
        <v>1887</v>
      </c>
      <c r="E730" t="s">
        <v>492</v>
      </c>
      <c r="F730" t="s">
        <v>1888</v>
      </c>
      <c r="G730" s="1">
        <v>42584</v>
      </c>
      <c r="I730" t="s">
        <v>199</v>
      </c>
      <c r="J730" t="s">
        <v>200</v>
      </c>
      <c r="K730" t="s">
        <v>201</v>
      </c>
      <c r="Q730" t="s">
        <v>212</v>
      </c>
      <c r="R730" t="str">
        <f>"КАЗАХСТАН, АКМОЛИНСКАЯ, СТЕПНОГОРСК, 27, 36"</f>
        <v>КАЗАХСТАН, АКМОЛИНСКАЯ, СТЕПНОГОРСК, 27, 36</v>
      </c>
      <c r="S730" t="str">
        <f>"ҚАЗАҚСТАН, АҚМОЛА, СТЕПНОГОР, 27, 36"</f>
        <v>ҚАЗАҚСТАН, АҚМОЛА, СТЕПНОГОР, 27, 36</v>
      </c>
      <c r="T730" t="str">
        <f>"27, 36"</f>
        <v>27, 36</v>
      </c>
      <c r="U730" t="str">
        <f>"27, 36"</f>
        <v>27, 36</v>
      </c>
      <c r="AC730" t="str">
        <f t="shared" si="36"/>
        <v>2022-08-25T00:00:00</v>
      </c>
      <c r="AD730" t="str">
        <f>"201"</f>
        <v>201</v>
      </c>
      <c r="AG730" t="s">
        <v>202</v>
      </c>
      <c r="AI730" t="s">
        <v>269</v>
      </c>
      <c r="AJ730" t="s">
        <v>660</v>
      </c>
      <c r="AK730" t="s">
        <v>434</v>
      </c>
      <c r="AL730" t="s">
        <v>206</v>
      </c>
      <c r="AN730" t="s">
        <v>254</v>
      </c>
      <c r="AO730">
        <v>1</v>
      </c>
      <c r="AP730" t="s">
        <v>208</v>
      </c>
      <c r="AQ730" t="s">
        <v>209</v>
      </c>
      <c r="AR730" t="s">
        <v>502</v>
      </c>
      <c r="AW730" t="s">
        <v>212</v>
      </c>
      <c r="AZ730" t="s">
        <v>209</v>
      </c>
      <c r="BI730" t="s">
        <v>212</v>
      </c>
      <c r="BJ730" t="s">
        <v>213</v>
      </c>
      <c r="BK730" t="s">
        <v>214</v>
      </c>
      <c r="BL730" t="s">
        <v>357</v>
      </c>
      <c r="BN730" t="s">
        <v>661</v>
      </c>
      <c r="BO730" t="s">
        <v>209</v>
      </c>
      <c r="BS730" t="s">
        <v>220</v>
      </c>
      <c r="BU730" t="s">
        <v>212</v>
      </c>
      <c r="BZ730" t="s">
        <v>662</v>
      </c>
      <c r="CA730" t="s">
        <v>287</v>
      </c>
      <c r="CC730" t="s">
        <v>209</v>
      </c>
      <c r="CE730" t="s">
        <v>242</v>
      </c>
      <c r="CJ730" t="s">
        <v>206</v>
      </c>
      <c r="CK730" t="s">
        <v>230</v>
      </c>
      <c r="CL730" t="s">
        <v>231</v>
      </c>
      <c r="CM730" t="s">
        <v>232</v>
      </c>
      <c r="CN730" t="s">
        <v>233</v>
      </c>
      <c r="CP730" t="s">
        <v>212</v>
      </c>
      <c r="CQ730" t="s">
        <v>212</v>
      </c>
      <c r="CR730" t="s">
        <v>212</v>
      </c>
      <c r="CS730" t="s">
        <v>212</v>
      </c>
      <c r="CY730" t="s">
        <v>212</v>
      </c>
      <c r="DB730" t="s">
        <v>234</v>
      </c>
      <c r="DE730" t="s">
        <v>212</v>
      </c>
      <c r="DF730" t="s">
        <v>212</v>
      </c>
      <c r="DG730" t="s">
        <v>235</v>
      </c>
      <c r="DH730" t="s">
        <v>212</v>
      </c>
      <c r="DJ730" t="s">
        <v>236</v>
      </c>
      <c r="DM730" t="s">
        <v>212</v>
      </c>
      <c r="GB730" t="s">
        <v>206</v>
      </c>
    </row>
    <row r="731" spans="1:184" x14ac:dyDescent="0.3">
      <c r="A731">
        <v>22879211</v>
      </c>
      <c r="B731">
        <v>12685293</v>
      </c>
      <c r="C731" t="str">
        <f>"160911604115"</f>
        <v>160911604115</v>
      </c>
      <c r="D731" t="s">
        <v>462</v>
      </c>
      <c r="E731" t="s">
        <v>787</v>
      </c>
      <c r="F731" t="s">
        <v>1889</v>
      </c>
      <c r="G731" s="1">
        <v>42624</v>
      </c>
      <c r="I731" t="s">
        <v>199</v>
      </c>
      <c r="J731" t="s">
        <v>200</v>
      </c>
      <c r="K731" t="s">
        <v>201</v>
      </c>
      <c r="R731" t="str">
        <f>"КАЗАХСТАН, АКМОЛИНСКАЯ, СТЕПНОГОРСК, 16, 9"</f>
        <v>КАЗАХСТАН, АКМОЛИНСКАЯ, СТЕПНОГОРСК, 16, 9</v>
      </c>
      <c r="S731" t="str">
        <f>"ҚАЗАҚСТАН, АҚМОЛА, СТЕПНОГОР, 16, 9"</f>
        <v>ҚАЗАҚСТАН, АҚМОЛА, СТЕПНОГОР, 16, 9</v>
      </c>
      <c r="T731" t="str">
        <f>"16, 9"</f>
        <v>16, 9</v>
      </c>
      <c r="U731" t="str">
        <f>"16, 9"</f>
        <v>16, 9</v>
      </c>
      <c r="AC731" t="str">
        <f t="shared" si="36"/>
        <v>2022-08-25T00:00:00</v>
      </c>
      <c r="AD731" t="str">
        <f t="shared" ref="AD731:AD736" si="37">"120"</f>
        <v>120</v>
      </c>
      <c r="AG731" t="s">
        <v>202</v>
      </c>
      <c r="AI731" t="s">
        <v>269</v>
      </c>
      <c r="AJ731" t="s">
        <v>660</v>
      </c>
      <c r="AK731" t="s">
        <v>253</v>
      </c>
      <c r="AL731" t="s">
        <v>206</v>
      </c>
      <c r="AN731" t="s">
        <v>254</v>
      </c>
      <c r="AO731">
        <v>1</v>
      </c>
      <c r="AP731" t="s">
        <v>208</v>
      </c>
      <c r="AQ731" t="s">
        <v>209</v>
      </c>
      <c r="AR731" t="s">
        <v>210</v>
      </c>
      <c r="AW731" t="s">
        <v>206</v>
      </c>
      <c r="AX731" t="s">
        <v>211</v>
      </c>
      <c r="AZ731" t="s">
        <v>209</v>
      </c>
      <c r="BI731" t="s">
        <v>212</v>
      </c>
      <c r="BJ731" t="s">
        <v>213</v>
      </c>
      <c r="BK731" t="s">
        <v>214</v>
      </c>
      <c r="BL731" t="s">
        <v>357</v>
      </c>
      <c r="BN731" t="s">
        <v>661</v>
      </c>
      <c r="BO731" t="s">
        <v>209</v>
      </c>
      <c r="BS731" t="s">
        <v>220</v>
      </c>
      <c r="BU731" t="s">
        <v>212</v>
      </c>
      <c r="BZ731" t="s">
        <v>662</v>
      </c>
      <c r="CA731" t="s">
        <v>287</v>
      </c>
      <c r="CC731" t="s">
        <v>209</v>
      </c>
      <c r="CE731" t="s">
        <v>242</v>
      </c>
      <c r="CJ731" t="s">
        <v>206</v>
      </c>
      <c r="CK731" t="s">
        <v>264</v>
      </c>
      <c r="CL731" t="s">
        <v>231</v>
      </c>
      <c r="CM731" t="s">
        <v>232</v>
      </c>
      <c r="CN731" t="s">
        <v>233</v>
      </c>
      <c r="CP731" t="s">
        <v>212</v>
      </c>
      <c r="CQ731" t="s">
        <v>212</v>
      </c>
      <c r="CR731" t="s">
        <v>212</v>
      </c>
      <c r="CS731" t="s">
        <v>212</v>
      </c>
      <c r="CY731" t="s">
        <v>212</v>
      </c>
      <c r="DB731" t="s">
        <v>234</v>
      </c>
      <c r="DE731" t="s">
        <v>212</v>
      </c>
      <c r="DF731" t="s">
        <v>212</v>
      </c>
      <c r="DG731" t="s">
        <v>235</v>
      </c>
      <c r="DH731" t="s">
        <v>212</v>
      </c>
      <c r="DJ731" t="s">
        <v>236</v>
      </c>
      <c r="DM731" t="s">
        <v>212</v>
      </c>
      <c r="GB731" t="s">
        <v>206</v>
      </c>
    </row>
    <row r="732" spans="1:184" x14ac:dyDescent="0.3">
      <c r="A732">
        <v>22879226</v>
      </c>
      <c r="B732">
        <v>9621986</v>
      </c>
      <c r="C732" t="str">
        <f>"170217601358"</f>
        <v>170217601358</v>
      </c>
      <c r="D732" t="s">
        <v>875</v>
      </c>
      <c r="E732" t="s">
        <v>197</v>
      </c>
      <c r="F732" t="s">
        <v>877</v>
      </c>
      <c r="G732" s="1">
        <v>42783</v>
      </c>
      <c r="I732" t="s">
        <v>199</v>
      </c>
      <c r="J732" t="s">
        <v>200</v>
      </c>
      <c r="K732" t="s">
        <v>201</v>
      </c>
      <c r="R732" t="str">
        <f>"КАЗАХСТАН, АКМОЛИНСКАЯ, СТЕПНОГОРСК, 12, 3"</f>
        <v>КАЗАХСТАН, АКМОЛИНСКАЯ, СТЕПНОГОРСК, 12, 3</v>
      </c>
      <c r="S732" t="str">
        <f>"ҚАЗАҚСТАН, АҚМОЛА, СТЕПНОГОР, 12, 3"</f>
        <v>ҚАЗАҚСТАН, АҚМОЛА, СТЕПНОГОР, 12, 3</v>
      </c>
      <c r="T732" t="str">
        <f>"12, 3"</f>
        <v>12, 3</v>
      </c>
      <c r="U732" t="str">
        <f>"12, 3"</f>
        <v>12, 3</v>
      </c>
      <c r="AC732" t="str">
        <f t="shared" si="36"/>
        <v>2022-08-25T00:00:00</v>
      </c>
      <c r="AD732" t="str">
        <f t="shared" si="37"/>
        <v>120</v>
      </c>
      <c r="AG732" t="s">
        <v>202</v>
      </c>
      <c r="AI732" t="s">
        <v>269</v>
      </c>
      <c r="AJ732" t="s">
        <v>660</v>
      </c>
      <c r="AK732" t="s">
        <v>253</v>
      </c>
      <c r="AL732" t="s">
        <v>206</v>
      </c>
      <c r="AN732" t="s">
        <v>254</v>
      </c>
      <c r="AO732">
        <v>1</v>
      </c>
      <c r="AP732" t="s">
        <v>208</v>
      </c>
      <c r="AQ732" t="s">
        <v>209</v>
      </c>
      <c r="AR732" t="s">
        <v>502</v>
      </c>
      <c r="AW732" t="s">
        <v>212</v>
      </c>
      <c r="AZ732" t="s">
        <v>209</v>
      </c>
      <c r="BI732" t="s">
        <v>212</v>
      </c>
      <c r="BJ732" t="s">
        <v>213</v>
      </c>
      <c r="BK732" t="s">
        <v>214</v>
      </c>
      <c r="BL732" t="s">
        <v>357</v>
      </c>
      <c r="BN732" t="s">
        <v>661</v>
      </c>
      <c r="BO732" t="s">
        <v>209</v>
      </c>
      <c r="BS732" t="s">
        <v>220</v>
      </c>
      <c r="BU732" t="s">
        <v>212</v>
      </c>
      <c r="BZ732" t="s">
        <v>662</v>
      </c>
      <c r="CA732" t="s">
        <v>287</v>
      </c>
      <c r="CC732" t="s">
        <v>209</v>
      </c>
      <c r="CE732" t="s">
        <v>242</v>
      </c>
      <c r="CJ732" t="s">
        <v>206</v>
      </c>
      <c r="CK732" t="s">
        <v>230</v>
      </c>
      <c r="CL732" t="s">
        <v>231</v>
      </c>
      <c r="CM732" t="s">
        <v>232</v>
      </c>
      <c r="CN732" t="s">
        <v>233</v>
      </c>
      <c r="CP732" t="s">
        <v>212</v>
      </c>
      <c r="CQ732" t="s">
        <v>212</v>
      </c>
      <c r="CR732" t="s">
        <v>212</v>
      </c>
      <c r="CS732" t="s">
        <v>212</v>
      </c>
      <c r="CY732" t="s">
        <v>212</v>
      </c>
      <c r="DB732" t="s">
        <v>234</v>
      </c>
      <c r="DE732" t="s">
        <v>212</v>
      </c>
      <c r="DF732" t="s">
        <v>212</v>
      </c>
      <c r="DG732" t="s">
        <v>235</v>
      </c>
      <c r="DH732" t="s">
        <v>212</v>
      </c>
      <c r="DJ732" t="s">
        <v>236</v>
      </c>
      <c r="DM732" t="s">
        <v>212</v>
      </c>
      <c r="GB732" t="s">
        <v>206</v>
      </c>
    </row>
    <row r="733" spans="1:184" x14ac:dyDescent="0.3">
      <c r="A733">
        <v>22879391</v>
      </c>
      <c r="B733">
        <v>7299464</v>
      </c>
      <c r="C733" t="str">
        <f>"160526501578"</f>
        <v>160526501578</v>
      </c>
      <c r="D733" t="s">
        <v>1890</v>
      </c>
      <c r="E733" t="s">
        <v>1891</v>
      </c>
      <c r="F733" t="s">
        <v>1892</v>
      </c>
      <c r="G733" s="1">
        <v>42516</v>
      </c>
      <c r="I733" t="s">
        <v>240</v>
      </c>
      <c r="J733" t="s">
        <v>200</v>
      </c>
      <c r="K733" t="s">
        <v>201</v>
      </c>
      <c r="R733" t="str">
        <f>"КАЗАХСТАН, НУР-СУЛТАН, АЛМАТЫ РАЙОН, -, 299"</f>
        <v>КАЗАХСТАН, НУР-СУЛТАН, АЛМАТЫ РАЙОН, -, 299</v>
      </c>
      <c r="S733" t="str">
        <f>"ҚАЗАҚСТАН, НҰР-СҰЛТАН, АЛМАТЫ АУДАНЫ, -, 299"</f>
        <v>ҚАЗАҚСТАН, НҰР-СҰЛТАН, АЛМАТЫ АУДАНЫ, -, 299</v>
      </c>
      <c r="T733" t="str">
        <f>"-, 299"</f>
        <v>-, 299</v>
      </c>
      <c r="U733" t="str">
        <f>"-, 299"</f>
        <v>-, 299</v>
      </c>
      <c r="AC733" t="str">
        <f t="shared" si="36"/>
        <v>2022-08-25T00:00:00</v>
      </c>
      <c r="AD733" t="str">
        <f t="shared" si="37"/>
        <v>120</v>
      </c>
      <c r="AG733" t="s">
        <v>202</v>
      </c>
      <c r="AI733" t="s">
        <v>269</v>
      </c>
      <c r="AJ733" t="s">
        <v>570</v>
      </c>
      <c r="AK733" t="s">
        <v>253</v>
      </c>
      <c r="AL733" t="s">
        <v>206</v>
      </c>
      <c r="AN733" t="s">
        <v>254</v>
      </c>
      <c r="AO733">
        <v>2</v>
      </c>
      <c r="AP733" t="s">
        <v>208</v>
      </c>
      <c r="AQ733" t="s">
        <v>209</v>
      </c>
      <c r="AR733" t="s">
        <v>502</v>
      </c>
      <c r="AW733" t="s">
        <v>212</v>
      </c>
      <c r="AZ733" t="s">
        <v>209</v>
      </c>
      <c r="BI733" t="s">
        <v>212</v>
      </c>
      <c r="BJ733" t="s">
        <v>213</v>
      </c>
      <c r="BK733" t="s">
        <v>214</v>
      </c>
      <c r="BL733" t="s">
        <v>357</v>
      </c>
      <c r="BN733" t="s">
        <v>216</v>
      </c>
      <c r="BO733" t="s">
        <v>209</v>
      </c>
      <c r="BP733" t="s">
        <v>241</v>
      </c>
      <c r="BQ733">
        <v>4</v>
      </c>
      <c r="BS733" t="s">
        <v>220</v>
      </c>
      <c r="BU733" t="s">
        <v>212</v>
      </c>
      <c r="BZ733" t="s">
        <v>623</v>
      </c>
      <c r="CA733" t="s">
        <v>287</v>
      </c>
      <c r="CC733" t="s">
        <v>209</v>
      </c>
      <c r="CE733" t="s">
        <v>242</v>
      </c>
      <c r="CJ733" t="s">
        <v>206</v>
      </c>
      <c r="CK733" t="s">
        <v>230</v>
      </c>
      <c r="CL733" t="s">
        <v>231</v>
      </c>
      <c r="CM733" t="s">
        <v>232</v>
      </c>
      <c r="CN733" t="s">
        <v>233</v>
      </c>
      <c r="CP733" t="s">
        <v>212</v>
      </c>
      <c r="CQ733" t="s">
        <v>212</v>
      </c>
      <c r="CR733" t="s">
        <v>212</v>
      </c>
      <c r="CS733" t="s">
        <v>212</v>
      </c>
      <c r="CY733" t="s">
        <v>212</v>
      </c>
      <c r="DB733" t="s">
        <v>234</v>
      </c>
      <c r="DE733" t="s">
        <v>212</v>
      </c>
      <c r="DF733" t="s">
        <v>212</v>
      </c>
      <c r="DG733" t="s">
        <v>235</v>
      </c>
      <c r="DH733" t="s">
        <v>212</v>
      </c>
      <c r="DJ733" t="s">
        <v>236</v>
      </c>
      <c r="DM733" t="s">
        <v>212</v>
      </c>
    </row>
    <row r="734" spans="1:184" x14ac:dyDescent="0.3">
      <c r="A734">
        <v>22879409</v>
      </c>
      <c r="B734">
        <v>841119</v>
      </c>
      <c r="C734" t="str">
        <f>"160729504299"</f>
        <v>160729504299</v>
      </c>
      <c r="D734" t="s">
        <v>1173</v>
      </c>
      <c r="E734" t="s">
        <v>1893</v>
      </c>
      <c r="F734" t="s">
        <v>1894</v>
      </c>
      <c r="G734" s="1">
        <v>42580</v>
      </c>
      <c r="I734" t="s">
        <v>240</v>
      </c>
      <c r="J734" t="s">
        <v>200</v>
      </c>
      <c r="K734" t="s">
        <v>201</v>
      </c>
      <c r="R734" t="str">
        <f>"КАЗАХСТАН, АКМОЛИНСКАЯ, СТЕПНОГОРСК, СТЕПНОГОРСК, 86, 42"</f>
        <v>КАЗАХСТАН, АКМОЛИНСКАЯ, СТЕПНОГОРСК, СТЕПНОГОРСК, 86, 42</v>
      </c>
      <c r="S734" t="str">
        <f>"ҚАЗАҚСТАН, АҚМОЛА, СТЕПНОГОР, СТЕПНОГОРСК, 86, 42"</f>
        <v>ҚАЗАҚСТАН, АҚМОЛА, СТЕПНОГОР, СТЕПНОГОРСК, 86, 42</v>
      </c>
      <c r="T734" t="str">
        <f>"СТЕПНОГОРСК, 86, 42"</f>
        <v>СТЕПНОГОРСК, 86, 42</v>
      </c>
      <c r="U734" t="str">
        <f>"СТЕПНОГОРСК, 86, 42"</f>
        <v>СТЕПНОГОРСК, 86, 42</v>
      </c>
      <c r="AC734" t="str">
        <f t="shared" si="36"/>
        <v>2022-08-25T00:00:00</v>
      </c>
      <c r="AD734" t="str">
        <f t="shared" si="37"/>
        <v>120</v>
      </c>
      <c r="AG734" t="s">
        <v>202</v>
      </c>
      <c r="AI734" t="s">
        <v>269</v>
      </c>
      <c r="AJ734" t="s">
        <v>570</v>
      </c>
      <c r="AK734" t="s">
        <v>253</v>
      </c>
      <c r="AL734" t="s">
        <v>206</v>
      </c>
      <c r="AN734" t="s">
        <v>254</v>
      </c>
      <c r="AO734">
        <v>2</v>
      </c>
      <c r="AP734" t="s">
        <v>208</v>
      </c>
      <c r="AQ734" t="s">
        <v>209</v>
      </c>
      <c r="AR734" t="s">
        <v>502</v>
      </c>
      <c r="AW734" t="s">
        <v>212</v>
      </c>
      <c r="AZ734" t="s">
        <v>209</v>
      </c>
      <c r="BI734" t="s">
        <v>212</v>
      </c>
      <c r="BJ734" t="s">
        <v>213</v>
      </c>
      <c r="BK734" t="s">
        <v>214</v>
      </c>
      <c r="BL734" t="s">
        <v>357</v>
      </c>
      <c r="BN734" t="s">
        <v>216</v>
      </c>
      <c r="BO734" t="s">
        <v>209</v>
      </c>
      <c r="BP734" t="s">
        <v>241</v>
      </c>
      <c r="BQ734">
        <v>5</v>
      </c>
      <c r="BS734" t="s">
        <v>220</v>
      </c>
      <c r="BU734" t="s">
        <v>212</v>
      </c>
      <c r="BZ734" t="s">
        <v>623</v>
      </c>
      <c r="CA734" t="s">
        <v>287</v>
      </c>
      <c r="CC734" t="s">
        <v>301</v>
      </c>
      <c r="CD734" t="s">
        <v>223</v>
      </c>
      <c r="CE734" t="s">
        <v>242</v>
      </c>
      <c r="CJ734" t="s">
        <v>206</v>
      </c>
      <c r="CK734" t="s">
        <v>230</v>
      </c>
      <c r="CL734" t="s">
        <v>231</v>
      </c>
      <c r="CM734" t="s">
        <v>232</v>
      </c>
      <c r="CN734" t="s">
        <v>233</v>
      </c>
      <c r="CP734" t="s">
        <v>212</v>
      </c>
      <c r="CQ734" t="s">
        <v>212</v>
      </c>
      <c r="CR734" t="s">
        <v>212</v>
      </c>
      <c r="CS734" t="s">
        <v>212</v>
      </c>
      <c r="CY734" t="s">
        <v>212</v>
      </c>
      <c r="DB734" t="s">
        <v>234</v>
      </c>
      <c r="DE734" t="s">
        <v>212</v>
      </c>
      <c r="DF734" t="s">
        <v>212</v>
      </c>
      <c r="DG734" t="s">
        <v>235</v>
      </c>
      <c r="DH734" t="s">
        <v>212</v>
      </c>
      <c r="DJ734" t="s">
        <v>236</v>
      </c>
      <c r="DM734" t="s">
        <v>212</v>
      </c>
    </row>
    <row r="735" spans="1:184" x14ac:dyDescent="0.3">
      <c r="A735">
        <v>22879425</v>
      </c>
      <c r="B735">
        <v>9687041</v>
      </c>
      <c r="C735" t="str">
        <f>"160103501379"</f>
        <v>160103501379</v>
      </c>
      <c r="D735" t="s">
        <v>1895</v>
      </c>
      <c r="E735" t="s">
        <v>1016</v>
      </c>
      <c r="F735" t="s">
        <v>1896</v>
      </c>
      <c r="G735" s="1">
        <v>42372</v>
      </c>
      <c r="I735" t="s">
        <v>240</v>
      </c>
      <c r="J735" t="s">
        <v>200</v>
      </c>
      <c r="K735" t="s">
        <v>201</v>
      </c>
      <c r="Q735" t="s">
        <v>212</v>
      </c>
      <c r="R735" t="str">
        <f>"КАЗАХСТАН, АКМОЛИНСКАЯ, СТЕПНОГОРСК, 69, 33"</f>
        <v>КАЗАХСТАН, АКМОЛИНСКАЯ, СТЕПНОГОРСК, 69, 33</v>
      </c>
      <c r="S735" t="str">
        <f>"ҚАЗАҚСТАН, АҚМОЛА, СТЕПНОГОР, 69, 33"</f>
        <v>ҚАЗАҚСТАН, АҚМОЛА, СТЕПНОГОР, 69, 33</v>
      </c>
      <c r="T735" t="str">
        <f>"69, 33"</f>
        <v>69, 33</v>
      </c>
      <c r="U735" t="str">
        <f>"69, 33"</f>
        <v>69, 33</v>
      </c>
      <c r="AC735" t="str">
        <f t="shared" si="36"/>
        <v>2022-08-25T00:00:00</v>
      </c>
      <c r="AD735" t="str">
        <f t="shared" si="37"/>
        <v>120</v>
      </c>
      <c r="AG735" t="s">
        <v>202</v>
      </c>
      <c r="AI735" t="s">
        <v>269</v>
      </c>
      <c r="AJ735" t="s">
        <v>570</v>
      </c>
      <c r="AK735" t="s">
        <v>253</v>
      </c>
      <c r="AL735" t="s">
        <v>206</v>
      </c>
      <c r="AN735" t="s">
        <v>254</v>
      </c>
      <c r="AO735">
        <v>2</v>
      </c>
      <c r="AP735" t="s">
        <v>208</v>
      </c>
      <c r="AQ735" t="s">
        <v>209</v>
      </c>
      <c r="AR735" t="s">
        <v>502</v>
      </c>
      <c r="AW735" t="s">
        <v>212</v>
      </c>
      <c r="AZ735" t="s">
        <v>209</v>
      </c>
      <c r="BI735" t="s">
        <v>212</v>
      </c>
      <c r="BJ735" t="s">
        <v>213</v>
      </c>
      <c r="BK735" t="s">
        <v>214</v>
      </c>
      <c r="BL735" t="s">
        <v>357</v>
      </c>
      <c r="BN735" t="s">
        <v>216</v>
      </c>
      <c r="BO735" t="s">
        <v>209</v>
      </c>
      <c r="BP735" t="s">
        <v>241</v>
      </c>
      <c r="BQ735">
        <v>4</v>
      </c>
      <c r="BS735" t="s">
        <v>220</v>
      </c>
      <c r="BU735" t="s">
        <v>212</v>
      </c>
      <c r="BZ735" t="s">
        <v>623</v>
      </c>
      <c r="CA735" t="s">
        <v>287</v>
      </c>
      <c r="CC735" t="s">
        <v>209</v>
      </c>
      <c r="CE735" t="s">
        <v>242</v>
      </c>
      <c r="CJ735" t="s">
        <v>206</v>
      </c>
      <c r="CK735" t="s">
        <v>230</v>
      </c>
      <c r="CL735" t="s">
        <v>231</v>
      </c>
      <c r="CM735" t="s">
        <v>232</v>
      </c>
      <c r="CN735" t="s">
        <v>233</v>
      </c>
      <c r="CP735" t="s">
        <v>212</v>
      </c>
      <c r="CQ735" t="s">
        <v>212</v>
      </c>
      <c r="CR735" t="s">
        <v>212</v>
      </c>
      <c r="CS735" t="s">
        <v>212</v>
      </c>
      <c r="CY735" t="s">
        <v>212</v>
      </c>
      <c r="DB735" t="s">
        <v>234</v>
      </c>
      <c r="DE735" t="s">
        <v>212</v>
      </c>
      <c r="DF735" t="s">
        <v>212</v>
      </c>
      <c r="DG735" t="s">
        <v>235</v>
      </c>
      <c r="DH735" t="s">
        <v>212</v>
      </c>
      <c r="DJ735" t="s">
        <v>236</v>
      </c>
      <c r="DM735" t="s">
        <v>212</v>
      </c>
    </row>
    <row r="736" spans="1:184" x14ac:dyDescent="0.3">
      <c r="A736">
        <v>22879454</v>
      </c>
      <c r="B736">
        <v>7385914</v>
      </c>
      <c r="C736" t="str">
        <f>"160513503385"</f>
        <v>160513503385</v>
      </c>
      <c r="D736" t="s">
        <v>1897</v>
      </c>
      <c r="E736" t="s">
        <v>1898</v>
      </c>
      <c r="F736" t="s">
        <v>1899</v>
      </c>
      <c r="G736" s="1">
        <v>42503</v>
      </c>
      <c r="I736" t="s">
        <v>240</v>
      </c>
      <c r="J736" t="s">
        <v>200</v>
      </c>
      <c r="K736" t="s">
        <v>201</v>
      </c>
      <c r="R736" t="str">
        <f>"КАЗАХСТАН, АКМОЛИНСКАЯ, СТЕПНОГОРСК, 19, 4"</f>
        <v>КАЗАХСТАН, АКМОЛИНСКАЯ, СТЕПНОГОРСК, 19, 4</v>
      </c>
      <c r="S736" t="str">
        <f>"ҚАЗАҚСТАН, АҚМОЛА, СТЕПНОГОР, 19, 4"</f>
        <v>ҚАЗАҚСТАН, АҚМОЛА, СТЕПНОГОР, 19, 4</v>
      </c>
      <c r="T736" t="str">
        <f>"19, 4"</f>
        <v>19, 4</v>
      </c>
      <c r="U736" t="str">
        <f>"19, 4"</f>
        <v>19, 4</v>
      </c>
      <c r="AC736" t="str">
        <f t="shared" si="36"/>
        <v>2022-08-25T00:00:00</v>
      </c>
      <c r="AD736" t="str">
        <f t="shared" si="37"/>
        <v>120</v>
      </c>
      <c r="AE736" t="str">
        <f>"2023-09-01T17:44:41"</f>
        <v>2023-09-01T17:44:41</v>
      </c>
      <c r="AF736" t="str">
        <f>"2024-05-25T17:44:41"</f>
        <v>2024-05-25T17:44:41</v>
      </c>
      <c r="AG736" t="s">
        <v>202</v>
      </c>
      <c r="AI736" t="s">
        <v>269</v>
      </c>
      <c r="AJ736" t="s">
        <v>570</v>
      </c>
      <c r="AK736" t="s">
        <v>253</v>
      </c>
      <c r="AL736" t="s">
        <v>206</v>
      </c>
      <c r="AN736" t="s">
        <v>254</v>
      </c>
      <c r="AO736">
        <v>2</v>
      </c>
      <c r="AP736" t="s">
        <v>208</v>
      </c>
      <c r="AQ736" t="s">
        <v>209</v>
      </c>
      <c r="AR736" t="s">
        <v>502</v>
      </c>
      <c r="AW736" t="s">
        <v>212</v>
      </c>
      <c r="AZ736" t="s">
        <v>209</v>
      </c>
      <c r="BI736" t="s">
        <v>212</v>
      </c>
      <c r="BJ736" t="s">
        <v>213</v>
      </c>
      <c r="BK736" t="s">
        <v>214</v>
      </c>
      <c r="BL736" t="s">
        <v>357</v>
      </c>
      <c r="BN736" t="s">
        <v>281</v>
      </c>
      <c r="BO736" t="s">
        <v>209</v>
      </c>
      <c r="BP736" t="s">
        <v>241</v>
      </c>
      <c r="BQ736">
        <v>5</v>
      </c>
      <c r="BS736" t="s">
        <v>220</v>
      </c>
      <c r="BU736" t="s">
        <v>212</v>
      </c>
      <c r="BZ736" t="s">
        <v>623</v>
      </c>
      <c r="CA736" t="s">
        <v>287</v>
      </c>
      <c r="CC736" t="s">
        <v>301</v>
      </c>
      <c r="CD736" t="s">
        <v>349</v>
      </c>
      <c r="CE736" t="s">
        <v>242</v>
      </c>
      <c r="CJ736" t="s">
        <v>206</v>
      </c>
      <c r="CK736" t="s">
        <v>230</v>
      </c>
      <c r="CL736" t="s">
        <v>231</v>
      </c>
      <c r="CM736" t="s">
        <v>232</v>
      </c>
      <c r="CN736" t="s">
        <v>233</v>
      </c>
      <c r="CP736" t="s">
        <v>212</v>
      </c>
      <c r="CQ736" t="s">
        <v>212</v>
      </c>
      <c r="CR736" t="s">
        <v>212</v>
      </c>
      <c r="CS736" t="s">
        <v>212</v>
      </c>
      <c r="CY736" t="s">
        <v>212</v>
      </c>
      <c r="DB736" t="s">
        <v>234</v>
      </c>
      <c r="DE736" t="s">
        <v>212</v>
      </c>
      <c r="DF736" t="s">
        <v>212</v>
      </c>
      <c r="DG736" t="s">
        <v>235</v>
      </c>
      <c r="DH736" t="s">
        <v>212</v>
      </c>
      <c r="DJ736" t="s">
        <v>236</v>
      </c>
      <c r="DM736" t="s">
        <v>212</v>
      </c>
    </row>
    <row r="737" spans="1:117" x14ac:dyDescent="0.3">
      <c r="A737">
        <v>23516065</v>
      </c>
      <c r="B737">
        <v>841421</v>
      </c>
      <c r="C737" t="str">
        <f>"130726504693"</f>
        <v>130726504693</v>
      </c>
      <c r="D737" t="s">
        <v>1900</v>
      </c>
      <c r="E737" t="s">
        <v>1154</v>
      </c>
      <c r="F737" t="s">
        <v>656</v>
      </c>
      <c r="G737" s="1">
        <v>41481</v>
      </c>
      <c r="I737" t="s">
        <v>240</v>
      </c>
      <c r="J737" t="s">
        <v>200</v>
      </c>
      <c r="K737" t="s">
        <v>201</v>
      </c>
      <c r="R737" t="str">
        <f>"КАЗАХСТАН, АКМОЛИНСКАЯ, СТЕПНОГОРСК, -, 35, 51"</f>
        <v>КАЗАХСТАН, АКМОЛИНСКАЯ, СТЕПНОГОРСК, -, 35, 51</v>
      </c>
      <c r="S737" t="str">
        <f>"ҚАЗАҚСТАН, АҚМОЛА, СТЕПНОГОР, -, 35, 51"</f>
        <v>ҚАЗАҚСТАН, АҚМОЛА, СТЕПНОГОР, -, 35, 51</v>
      </c>
      <c r="T737" t="str">
        <f>"-, 35, 51"</f>
        <v>-, 35, 51</v>
      </c>
      <c r="U737" t="str">
        <f>"-, 35, 51"</f>
        <v>-, 35, 51</v>
      </c>
      <c r="AC737" t="str">
        <f>"2022-09-09T00:00:00"</f>
        <v>2022-09-09T00:00:00</v>
      </c>
      <c r="AD737" t="str">
        <f>"138"</f>
        <v>138</v>
      </c>
      <c r="AG737" t="s">
        <v>202</v>
      </c>
      <c r="AI737" t="s">
        <v>269</v>
      </c>
      <c r="AJ737" t="s">
        <v>501</v>
      </c>
      <c r="AK737" t="s">
        <v>253</v>
      </c>
      <c r="AL737" t="s">
        <v>206</v>
      </c>
      <c r="AN737" t="s">
        <v>254</v>
      </c>
      <c r="AO737">
        <v>1</v>
      </c>
      <c r="AP737" t="s">
        <v>208</v>
      </c>
      <c r="AQ737" t="s">
        <v>209</v>
      </c>
      <c r="AR737" t="s">
        <v>502</v>
      </c>
      <c r="AW737" t="s">
        <v>212</v>
      </c>
      <c r="AZ737" t="s">
        <v>209</v>
      </c>
      <c r="BI737" t="s">
        <v>212</v>
      </c>
      <c r="BJ737" t="s">
        <v>213</v>
      </c>
      <c r="BK737" t="s">
        <v>214</v>
      </c>
      <c r="BL737" t="s">
        <v>357</v>
      </c>
      <c r="BN737" t="s">
        <v>247</v>
      </c>
      <c r="BO737" t="s">
        <v>209</v>
      </c>
      <c r="BP737" t="s">
        <v>415</v>
      </c>
      <c r="BQ737" t="s">
        <v>416</v>
      </c>
      <c r="BS737" t="s">
        <v>219</v>
      </c>
      <c r="BT737" t="s">
        <v>220</v>
      </c>
      <c r="BU737" t="s">
        <v>206</v>
      </c>
      <c r="BZ737" t="s">
        <v>503</v>
      </c>
      <c r="CA737" t="s">
        <v>287</v>
      </c>
      <c r="CC737" t="s">
        <v>222</v>
      </c>
      <c r="CD737" t="s">
        <v>223</v>
      </c>
      <c r="CE737" t="s">
        <v>242</v>
      </c>
      <c r="CJ737" t="s">
        <v>206</v>
      </c>
      <c r="CK737" t="s">
        <v>230</v>
      </c>
      <c r="CL737" t="s">
        <v>231</v>
      </c>
      <c r="CM737" t="s">
        <v>232</v>
      </c>
      <c r="CN737" t="s">
        <v>233</v>
      </c>
      <c r="CP737" t="s">
        <v>212</v>
      </c>
      <c r="CQ737" t="s">
        <v>212</v>
      </c>
      <c r="CR737" t="s">
        <v>212</v>
      </c>
      <c r="CS737" t="s">
        <v>212</v>
      </c>
      <c r="CY737" t="s">
        <v>212</v>
      </c>
      <c r="DB737" t="s">
        <v>234</v>
      </c>
      <c r="DE737" t="s">
        <v>212</v>
      </c>
      <c r="DF737" t="s">
        <v>212</v>
      </c>
      <c r="DG737" t="s">
        <v>235</v>
      </c>
      <c r="DH737" t="s">
        <v>212</v>
      </c>
      <c r="DJ737" t="s">
        <v>236</v>
      </c>
      <c r="DM737" t="s">
        <v>212</v>
      </c>
    </row>
    <row r="738" spans="1:117" x14ac:dyDescent="0.3">
      <c r="A738">
        <v>23721091</v>
      </c>
      <c r="B738">
        <v>133326</v>
      </c>
      <c r="C738" t="str">
        <f>"110125602078"</f>
        <v>110125602078</v>
      </c>
      <c r="D738" t="s">
        <v>1275</v>
      </c>
      <c r="E738" t="s">
        <v>1901</v>
      </c>
      <c r="F738" t="s">
        <v>447</v>
      </c>
      <c r="G738" s="1">
        <v>40568</v>
      </c>
      <c r="I738" t="s">
        <v>199</v>
      </c>
      <c r="J738" t="s">
        <v>200</v>
      </c>
      <c r="K738" t="s">
        <v>201</v>
      </c>
      <c r="R738" t="str">
        <f>"АНДОРРА, АКМОЛИНСКАЯ, СТЕПНОГОРСК, Бестобе, 20"</f>
        <v>АНДОРРА, АКМОЛИНСКАЯ, СТЕПНОГОРСК, Бестобе, 20</v>
      </c>
      <c r="S738" t="str">
        <f>"АНДОРРА, АҚМОЛА, СТЕПНОГОР, Бестобе, 20"</f>
        <v>АНДОРРА, АҚМОЛА, СТЕПНОГОР, Бестобе, 20</v>
      </c>
      <c r="T738" t="str">
        <f>"Бестобе, 20"</f>
        <v>Бестобе, 20</v>
      </c>
      <c r="U738" t="str">
        <f>"Бестобе, 20"</f>
        <v>Бестобе, 20</v>
      </c>
      <c r="AC738" t="str">
        <f>"2022-08-31T00:00:00"</f>
        <v>2022-08-31T00:00:00</v>
      </c>
      <c r="AD738" t="str">
        <f>"126"</f>
        <v>126</v>
      </c>
      <c r="AG738" t="s">
        <v>202</v>
      </c>
      <c r="AI738" t="s">
        <v>274</v>
      </c>
      <c r="AJ738" t="s">
        <v>300</v>
      </c>
      <c r="AK738" t="s">
        <v>253</v>
      </c>
      <c r="AL738" t="s">
        <v>206</v>
      </c>
      <c r="AN738" t="s">
        <v>254</v>
      </c>
      <c r="AO738">
        <v>1</v>
      </c>
      <c r="AP738" t="s">
        <v>208</v>
      </c>
      <c r="AQ738" t="s">
        <v>209</v>
      </c>
      <c r="AR738" t="s">
        <v>210</v>
      </c>
      <c r="AW738" t="s">
        <v>206</v>
      </c>
      <c r="AX738" t="s">
        <v>211</v>
      </c>
      <c r="AZ738" t="s">
        <v>209</v>
      </c>
      <c r="BI738" t="s">
        <v>212</v>
      </c>
      <c r="BJ738" t="s">
        <v>213</v>
      </c>
      <c r="BK738" t="s">
        <v>214</v>
      </c>
      <c r="BL738" t="s">
        <v>215</v>
      </c>
      <c r="BN738" t="s">
        <v>216</v>
      </c>
      <c r="BO738" t="s">
        <v>209</v>
      </c>
      <c r="BP738" t="s">
        <v>983</v>
      </c>
      <c r="BQ738">
        <v>4</v>
      </c>
      <c r="BS738" t="s">
        <v>219</v>
      </c>
      <c r="BT738" t="s">
        <v>220</v>
      </c>
      <c r="BU738" t="s">
        <v>206</v>
      </c>
      <c r="CA738" t="s">
        <v>222</v>
      </c>
      <c r="CB738" t="s">
        <v>223</v>
      </c>
      <c r="CC738" t="s">
        <v>222</v>
      </c>
      <c r="CD738" t="s">
        <v>223</v>
      </c>
      <c r="CE738" t="s">
        <v>242</v>
      </c>
      <c r="CJ738" t="s">
        <v>206</v>
      </c>
      <c r="CK738" t="s">
        <v>230</v>
      </c>
      <c r="CL738" t="s">
        <v>231</v>
      </c>
      <c r="CM738" t="s">
        <v>232</v>
      </c>
      <c r="CN738" t="s">
        <v>233</v>
      </c>
      <c r="CP738" t="s">
        <v>212</v>
      </c>
      <c r="CQ738" t="s">
        <v>212</v>
      </c>
      <c r="CR738" t="s">
        <v>212</v>
      </c>
      <c r="CS738" t="s">
        <v>212</v>
      </c>
      <c r="CY738" t="s">
        <v>212</v>
      </c>
      <c r="DB738" t="s">
        <v>234</v>
      </c>
      <c r="DE738" t="s">
        <v>212</v>
      </c>
      <c r="DF738" t="s">
        <v>212</v>
      </c>
      <c r="DG738" t="s">
        <v>235</v>
      </c>
      <c r="DH738" t="s">
        <v>212</v>
      </c>
      <c r="DJ738" t="s">
        <v>236</v>
      </c>
      <c r="DM738" t="s">
        <v>212</v>
      </c>
    </row>
    <row r="739" spans="1:117" x14ac:dyDescent="0.3">
      <c r="A739">
        <v>24112599</v>
      </c>
      <c r="B739">
        <v>62281</v>
      </c>
      <c r="C739" t="str">
        <f>"120918503568"</f>
        <v>120918503568</v>
      </c>
      <c r="D739" t="s">
        <v>807</v>
      </c>
      <c r="E739" t="s">
        <v>1902</v>
      </c>
      <c r="G739" s="1">
        <v>41170</v>
      </c>
      <c r="I739" t="s">
        <v>240</v>
      </c>
      <c r="J739" t="s">
        <v>200</v>
      </c>
      <c r="K739" t="s">
        <v>201</v>
      </c>
      <c r="Q739" t="s">
        <v>212</v>
      </c>
      <c r="R739" t="str">
        <f>"КАЗАХСТАН, АЛМАТИНСКАЯ, ЖАМБЫЛСКИЙ РАЙОН, Шолаккаргалинский, Умбетали Карибаев, 2Б"</f>
        <v>КАЗАХСТАН, АЛМАТИНСКАЯ, ЖАМБЫЛСКИЙ РАЙОН, Шолаккаргалинский, Умбетали Карибаев, 2Б</v>
      </c>
      <c r="S739" t="str">
        <f>"ҚАЗАҚСТАН, АЛМАТЫ, ЖАМБЫЛ АУДАНЫ, Шолаккаргалинский, Умбетали Карибаев, 2Б"</f>
        <v>ҚАЗАҚСТАН, АЛМАТЫ, ЖАМБЫЛ АУДАНЫ, Шолаккаргалинский, Умбетали Карибаев, 2Б</v>
      </c>
      <c r="T739" t="str">
        <f>"Шолаккаргалинский, Умбетали Карибаев, 2Б"</f>
        <v>Шолаккаргалинский, Умбетали Карибаев, 2Б</v>
      </c>
      <c r="U739" t="str">
        <f>"Шолаккаргалинский, Умбетали Карибаев, 2Б"</f>
        <v>Шолаккаргалинский, Умбетали Карибаев, 2Б</v>
      </c>
      <c r="AC739" t="str">
        <f>"2022-10-03T00:00:00"</f>
        <v>2022-10-03T00:00:00</v>
      </c>
      <c r="AD739" t="str">
        <f>"154"</f>
        <v>154</v>
      </c>
      <c r="AG739" t="s">
        <v>646</v>
      </c>
      <c r="AI739" t="s">
        <v>299</v>
      </c>
      <c r="AJ739" t="s">
        <v>419</v>
      </c>
      <c r="AK739" t="s">
        <v>253</v>
      </c>
      <c r="AL739" t="s">
        <v>206</v>
      </c>
      <c r="AN739" t="s">
        <v>254</v>
      </c>
      <c r="AO739">
        <v>1</v>
      </c>
      <c r="AP739" t="s">
        <v>208</v>
      </c>
      <c r="AQ739" t="s">
        <v>209</v>
      </c>
      <c r="AR739" t="s">
        <v>210</v>
      </c>
      <c r="AW739" t="s">
        <v>206</v>
      </c>
      <c r="AX739" t="s">
        <v>211</v>
      </c>
      <c r="AZ739" t="s">
        <v>209</v>
      </c>
      <c r="BI739" t="s">
        <v>212</v>
      </c>
      <c r="BJ739" t="s">
        <v>213</v>
      </c>
      <c r="BK739" t="s">
        <v>214</v>
      </c>
      <c r="BL739" t="s">
        <v>215</v>
      </c>
      <c r="BN739" t="s">
        <v>247</v>
      </c>
      <c r="BO739" t="s">
        <v>209</v>
      </c>
      <c r="BP739" t="s">
        <v>415</v>
      </c>
      <c r="BQ739" t="s">
        <v>416</v>
      </c>
      <c r="BS739" t="s">
        <v>219</v>
      </c>
      <c r="BT739" t="s">
        <v>220</v>
      </c>
      <c r="BU739" t="s">
        <v>206</v>
      </c>
      <c r="CA739" t="s">
        <v>249</v>
      </c>
      <c r="CB739" t="s">
        <v>223</v>
      </c>
      <c r="CC739" t="s">
        <v>222</v>
      </c>
      <c r="CD739" t="s">
        <v>223</v>
      </c>
      <c r="CE739" t="s">
        <v>242</v>
      </c>
      <c r="CJ739" t="s">
        <v>206</v>
      </c>
      <c r="CK739" t="s">
        <v>230</v>
      </c>
      <c r="CL739" t="s">
        <v>231</v>
      </c>
      <c r="CM739" t="s">
        <v>232</v>
      </c>
      <c r="CN739" t="s">
        <v>233</v>
      </c>
      <c r="CP739" t="s">
        <v>212</v>
      </c>
      <c r="CQ739" t="s">
        <v>212</v>
      </c>
      <c r="CR739" t="s">
        <v>212</v>
      </c>
      <c r="CS739" t="s">
        <v>212</v>
      </c>
      <c r="CY739" t="s">
        <v>212</v>
      </c>
      <c r="DB739" t="s">
        <v>234</v>
      </c>
      <c r="DE739" t="s">
        <v>212</v>
      </c>
      <c r="DF739" t="s">
        <v>212</v>
      </c>
      <c r="DG739" t="s">
        <v>235</v>
      </c>
      <c r="DH739" t="s">
        <v>212</v>
      </c>
      <c r="DJ739" t="s">
        <v>236</v>
      </c>
      <c r="DM739" t="s">
        <v>206</v>
      </c>
    </row>
    <row r="740" spans="1:117" x14ac:dyDescent="0.3">
      <c r="A740">
        <v>24226774</v>
      </c>
      <c r="B740">
        <v>8895953</v>
      </c>
      <c r="C740" t="str">
        <f>"130218600308"</f>
        <v>130218600308</v>
      </c>
      <c r="D740" t="s">
        <v>1903</v>
      </c>
      <c r="E740" t="s">
        <v>1904</v>
      </c>
      <c r="F740" t="s">
        <v>368</v>
      </c>
      <c r="G740" s="1">
        <v>41323</v>
      </c>
      <c r="I740" t="s">
        <v>199</v>
      </c>
      <c r="J740" t="s">
        <v>200</v>
      </c>
      <c r="K740" t="s">
        <v>201</v>
      </c>
      <c r="Q740" t="s">
        <v>212</v>
      </c>
      <c r="R740" t="str">
        <f>"КАЗАХСТАН, АКМОЛИНСКАЯ, СТЕПНОГОРСК, КЕНТI Аксу, 40"</f>
        <v>КАЗАХСТАН, АКМОЛИНСКАЯ, СТЕПНОГОРСК, КЕНТI Аксу, 40</v>
      </c>
      <c r="S740" t="str">
        <f>"ҚАЗАҚСТАН, АҚМОЛА, СТЕПНОГОР, КЕНТI Аксу, 40"</f>
        <v>ҚАЗАҚСТАН, АҚМОЛА, СТЕПНОГОР, КЕНТI Аксу, 40</v>
      </c>
      <c r="T740" t="str">
        <f>"КЕНТI Аксу, 40"</f>
        <v>КЕНТI Аксу, 40</v>
      </c>
      <c r="U740" t="str">
        <f>"КЕНТI Аксу, 40"</f>
        <v>КЕНТI Аксу, 40</v>
      </c>
      <c r="AC740" t="str">
        <f>"2022-11-02T00:00:00"</f>
        <v>2022-11-02T00:00:00</v>
      </c>
      <c r="AD740" t="str">
        <f>"164"</f>
        <v>164</v>
      </c>
      <c r="AG740" t="s">
        <v>202</v>
      </c>
      <c r="AI740" t="s">
        <v>274</v>
      </c>
      <c r="AJ740" t="s">
        <v>419</v>
      </c>
      <c r="AK740" t="s">
        <v>205</v>
      </c>
      <c r="AL740" t="s">
        <v>206</v>
      </c>
      <c r="AN740" t="s">
        <v>207</v>
      </c>
      <c r="AO740">
        <v>1</v>
      </c>
      <c r="AP740" t="s">
        <v>208</v>
      </c>
      <c r="AQ740" t="s">
        <v>209</v>
      </c>
      <c r="AR740" t="s">
        <v>210</v>
      </c>
      <c r="AW740" t="s">
        <v>206</v>
      </c>
      <c r="AX740" t="s">
        <v>211</v>
      </c>
      <c r="AZ740" t="s">
        <v>209</v>
      </c>
      <c r="BI740" t="s">
        <v>212</v>
      </c>
      <c r="BJ740" t="s">
        <v>213</v>
      </c>
      <c r="BK740" t="s">
        <v>214</v>
      </c>
      <c r="BL740" t="s">
        <v>215</v>
      </c>
      <c r="BN740" t="s">
        <v>247</v>
      </c>
      <c r="BO740" t="s">
        <v>209</v>
      </c>
      <c r="BP740" t="s">
        <v>1905</v>
      </c>
      <c r="BQ740" t="s">
        <v>416</v>
      </c>
      <c r="BS740" t="s">
        <v>219</v>
      </c>
      <c r="BT740" t="s">
        <v>220</v>
      </c>
      <c r="BU740" t="s">
        <v>206</v>
      </c>
      <c r="CA740" t="s">
        <v>256</v>
      </c>
      <c r="CB740" t="s">
        <v>223</v>
      </c>
      <c r="CC740" t="s">
        <v>222</v>
      </c>
      <c r="CD740" t="s">
        <v>223</v>
      </c>
      <c r="CE740" t="s">
        <v>242</v>
      </c>
      <c r="CJ740" t="s">
        <v>206</v>
      </c>
      <c r="CK740" t="s">
        <v>230</v>
      </c>
      <c r="CL740" t="s">
        <v>231</v>
      </c>
      <c r="CM740" t="s">
        <v>232</v>
      </c>
      <c r="CN740" t="s">
        <v>233</v>
      </c>
      <c r="CP740" t="s">
        <v>212</v>
      </c>
      <c r="CQ740" t="s">
        <v>212</v>
      </c>
      <c r="CR740" t="s">
        <v>212</v>
      </c>
      <c r="CS740" t="s">
        <v>212</v>
      </c>
      <c r="CY740" t="s">
        <v>212</v>
      </c>
      <c r="DB740" t="s">
        <v>234</v>
      </c>
      <c r="DE740" t="s">
        <v>212</v>
      </c>
      <c r="DF740" t="s">
        <v>212</v>
      </c>
      <c r="DG740" t="s">
        <v>235</v>
      </c>
      <c r="DH740" t="s">
        <v>212</v>
      </c>
      <c r="DJ740" t="s">
        <v>236</v>
      </c>
      <c r="DM740" t="s">
        <v>206</v>
      </c>
    </row>
    <row r="741" spans="1:117" x14ac:dyDescent="0.3">
      <c r="A741">
        <v>24226791</v>
      </c>
      <c r="B741">
        <v>11884333</v>
      </c>
      <c r="C741" t="str">
        <f>"170513500739"</f>
        <v>170513500739</v>
      </c>
      <c r="D741" t="s">
        <v>1906</v>
      </c>
      <c r="E741" t="s">
        <v>981</v>
      </c>
      <c r="F741" t="s">
        <v>239</v>
      </c>
      <c r="G741" s="1">
        <v>42868</v>
      </c>
      <c r="I741" t="s">
        <v>240</v>
      </c>
      <c r="J741" t="s">
        <v>200</v>
      </c>
      <c r="K741" t="s">
        <v>201</v>
      </c>
      <c r="Q741" t="s">
        <v>212</v>
      </c>
      <c r="R741" t="str">
        <f>"КАЗАХСТАН, АКМОЛИНСКАЯ, СТЕПНОГОРСК, КЕНТI Аксу, 40"</f>
        <v>КАЗАХСТАН, АКМОЛИНСКАЯ, СТЕПНОГОРСК, КЕНТI Аксу, 40</v>
      </c>
      <c r="S741" t="str">
        <f>"ҚАЗАҚСТАН, АҚМОЛА, СТЕПНОГОР, КЕНТI Аксу, 40"</f>
        <v>ҚАЗАҚСТАН, АҚМОЛА, СТЕПНОГОР, КЕНТI Аксу, 40</v>
      </c>
      <c r="T741" t="str">
        <f>"КЕНТI Аксу, 40"</f>
        <v>КЕНТI Аксу, 40</v>
      </c>
      <c r="U741" t="str">
        <f>"КЕНТI Аксу, 40"</f>
        <v>КЕНТI Аксу, 40</v>
      </c>
      <c r="AC741" t="str">
        <f>"2022-11-02T00:00:00"</f>
        <v>2022-11-02T00:00:00</v>
      </c>
      <c r="AD741" t="str">
        <f>"165"</f>
        <v>165</v>
      </c>
      <c r="AE741" t="str">
        <f>"2023-09-01T13:45:05"</f>
        <v>2023-09-01T13:45:05</v>
      </c>
      <c r="AF741" t="str">
        <f>"2024-05-25T13:45:05"</f>
        <v>2024-05-25T13:45:05</v>
      </c>
      <c r="AG741" t="s">
        <v>202</v>
      </c>
      <c r="AI741" t="s">
        <v>269</v>
      </c>
      <c r="AJ741" t="s">
        <v>660</v>
      </c>
      <c r="AK741" t="s">
        <v>205</v>
      </c>
      <c r="AL741" t="s">
        <v>206</v>
      </c>
      <c r="AN741" t="s">
        <v>207</v>
      </c>
      <c r="AO741">
        <v>1</v>
      </c>
      <c r="AP741" t="s">
        <v>208</v>
      </c>
      <c r="AQ741" t="s">
        <v>209</v>
      </c>
      <c r="AR741" t="s">
        <v>502</v>
      </c>
      <c r="AW741" t="s">
        <v>212</v>
      </c>
      <c r="AZ741" t="s">
        <v>209</v>
      </c>
      <c r="BI741" t="s">
        <v>212</v>
      </c>
      <c r="BJ741" t="s">
        <v>213</v>
      </c>
      <c r="BK741" t="s">
        <v>214</v>
      </c>
      <c r="BL741" t="s">
        <v>357</v>
      </c>
      <c r="BN741" t="s">
        <v>661</v>
      </c>
      <c r="BO741" t="s">
        <v>209</v>
      </c>
      <c r="BS741" t="s">
        <v>220</v>
      </c>
      <c r="BU741" t="s">
        <v>212</v>
      </c>
      <c r="BZ741" t="s">
        <v>662</v>
      </c>
      <c r="CA741" t="s">
        <v>287</v>
      </c>
      <c r="CC741" t="s">
        <v>209</v>
      </c>
      <c r="CE741" t="s">
        <v>242</v>
      </c>
      <c r="CJ741" t="s">
        <v>206</v>
      </c>
      <c r="CK741" t="s">
        <v>230</v>
      </c>
      <c r="CL741" t="s">
        <v>231</v>
      </c>
      <c r="CM741" t="s">
        <v>232</v>
      </c>
      <c r="CN741" t="s">
        <v>233</v>
      </c>
      <c r="CP741" t="s">
        <v>212</v>
      </c>
      <c r="CQ741" t="s">
        <v>212</v>
      </c>
      <c r="CR741" t="s">
        <v>212</v>
      </c>
      <c r="CS741" t="s">
        <v>212</v>
      </c>
      <c r="CY741" t="s">
        <v>212</v>
      </c>
      <c r="DB741" t="s">
        <v>653</v>
      </c>
      <c r="DC741" t="str">
        <f>"№1918 Общее недоразвитие речи 3 уровня."</f>
        <v>№1918 Общее недоразвитие речи 3 уровня.</v>
      </c>
      <c r="DD741" t="str">
        <f>"2023-12-26T00:00:00"</f>
        <v>2023-12-26T00:00:00</v>
      </c>
      <c r="DE741" t="s">
        <v>212</v>
      </c>
      <c r="DF741" t="s">
        <v>206</v>
      </c>
      <c r="DG741" t="s">
        <v>235</v>
      </c>
      <c r="DH741" t="s">
        <v>212</v>
      </c>
      <c r="DJ741" t="s">
        <v>236</v>
      </c>
      <c r="DM741" t="s">
        <v>212</v>
      </c>
    </row>
    <row r="742" spans="1:117" x14ac:dyDescent="0.3">
      <c r="A742">
        <v>24263150</v>
      </c>
      <c r="B742">
        <v>9618334</v>
      </c>
      <c r="C742" t="str">
        <f>"160307600050"</f>
        <v>160307600050</v>
      </c>
      <c r="D742" t="s">
        <v>1907</v>
      </c>
      <c r="E742" t="s">
        <v>1908</v>
      </c>
      <c r="F742" t="s">
        <v>1909</v>
      </c>
      <c r="G742" s="1">
        <v>42436</v>
      </c>
      <c r="I742" t="s">
        <v>199</v>
      </c>
      <c r="J742" t="s">
        <v>200</v>
      </c>
      <c r="K742" t="s">
        <v>260</v>
      </c>
      <c r="R742" t="str">
        <f>"КАЗАХСТАН, АКМОЛИНСКАЯ, СТЕПНОГОРСК, 39, 47"</f>
        <v>КАЗАХСТАН, АКМОЛИНСКАЯ, СТЕПНОГОРСК, 39, 47</v>
      </c>
      <c r="S742" t="str">
        <f>"ҚАЗАҚСТАН, АҚМОЛА, СТЕПНОГОР, 39, 47"</f>
        <v>ҚАЗАҚСТАН, АҚМОЛА, СТЕПНОГОР, 39, 47</v>
      </c>
      <c r="T742" t="str">
        <f>"39, 47"</f>
        <v>39, 47</v>
      </c>
      <c r="U742" t="str">
        <f>"39, 47"</f>
        <v>39, 47</v>
      </c>
      <c r="AC742" t="str">
        <f>"2022-08-25T00:00:00"</f>
        <v>2022-08-25T00:00:00</v>
      </c>
      <c r="AD742" t="str">
        <f>"1"</f>
        <v>1</v>
      </c>
      <c r="AG742" t="s">
        <v>202</v>
      </c>
      <c r="AI742" t="s">
        <v>299</v>
      </c>
      <c r="AJ742" t="s">
        <v>570</v>
      </c>
      <c r="AK742" t="s">
        <v>205</v>
      </c>
      <c r="AL742" t="s">
        <v>206</v>
      </c>
      <c r="AN742" t="s">
        <v>207</v>
      </c>
      <c r="AO742">
        <v>2</v>
      </c>
      <c r="AP742" t="s">
        <v>208</v>
      </c>
      <c r="AQ742" t="s">
        <v>209</v>
      </c>
      <c r="AR742" t="s">
        <v>502</v>
      </c>
      <c r="AW742" t="s">
        <v>212</v>
      </c>
      <c r="AZ742" t="s">
        <v>209</v>
      </c>
      <c r="BI742" t="s">
        <v>212</v>
      </c>
      <c r="BJ742" t="s">
        <v>213</v>
      </c>
      <c r="BK742" t="s">
        <v>214</v>
      </c>
      <c r="BL742" t="s">
        <v>357</v>
      </c>
      <c r="BN742" t="s">
        <v>216</v>
      </c>
      <c r="BO742" t="s">
        <v>209</v>
      </c>
      <c r="BP742" t="s">
        <v>241</v>
      </c>
      <c r="BQ742">
        <v>4</v>
      </c>
      <c r="BS742" t="s">
        <v>220</v>
      </c>
      <c r="BU742" t="s">
        <v>212</v>
      </c>
      <c r="BZ742" t="s">
        <v>623</v>
      </c>
      <c r="CA742" t="s">
        <v>287</v>
      </c>
      <c r="CC742" t="s">
        <v>222</v>
      </c>
      <c r="CD742" t="s">
        <v>223</v>
      </c>
      <c r="CE742" t="s">
        <v>242</v>
      </c>
      <c r="CJ742" t="s">
        <v>206</v>
      </c>
      <c r="CK742" t="s">
        <v>230</v>
      </c>
      <c r="CL742" t="s">
        <v>231</v>
      </c>
      <c r="CM742" t="s">
        <v>232</v>
      </c>
      <c r="CN742" t="s">
        <v>233</v>
      </c>
      <c r="CP742" t="s">
        <v>212</v>
      </c>
      <c r="CQ742" t="s">
        <v>212</v>
      </c>
      <c r="CR742" t="s">
        <v>212</v>
      </c>
      <c r="CS742" t="s">
        <v>212</v>
      </c>
      <c r="CY742" t="s">
        <v>212</v>
      </c>
      <c r="DB742" t="s">
        <v>234</v>
      </c>
      <c r="DE742" t="s">
        <v>212</v>
      </c>
      <c r="DF742" t="s">
        <v>212</v>
      </c>
      <c r="DG742" t="s">
        <v>235</v>
      </c>
      <c r="DH742" t="s">
        <v>212</v>
      </c>
      <c r="DJ742" t="s">
        <v>236</v>
      </c>
      <c r="DM742" t="s">
        <v>212</v>
      </c>
    </row>
    <row r="743" spans="1:117" x14ac:dyDescent="0.3">
      <c r="A743">
        <v>24263218</v>
      </c>
      <c r="B743">
        <v>863901</v>
      </c>
      <c r="C743" t="str">
        <f>"151019503402"</f>
        <v>151019503402</v>
      </c>
      <c r="D743" t="s">
        <v>1910</v>
      </c>
      <c r="E743" t="s">
        <v>548</v>
      </c>
      <c r="F743" t="s">
        <v>971</v>
      </c>
      <c r="G743" s="1">
        <v>42296</v>
      </c>
      <c r="I743" t="s">
        <v>240</v>
      </c>
      <c r="J743" t="s">
        <v>200</v>
      </c>
      <c r="K743" t="s">
        <v>369</v>
      </c>
      <c r="R743" t="str">
        <f>"КАЗАХСТАН, АКМОЛИНСКАЯ, СТЕПНОГОРСК, 10, 47"</f>
        <v>КАЗАХСТАН, АКМОЛИНСКАЯ, СТЕПНОГОРСК, 10, 47</v>
      </c>
      <c r="S743" t="str">
        <f>"ҚАЗАҚСТАН, АҚМОЛА, СТЕПНОГОР, 10, 47"</f>
        <v>ҚАЗАҚСТАН, АҚМОЛА, СТЕПНОГОР, 10, 47</v>
      </c>
      <c r="T743" t="str">
        <f>"10, 47"</f>
        <v>10, 47</v>
      </c>
      <c r="U743" t="str">
        <f>"10, 47"</f>
        <v>10, 47</v>
      </c>
      <c r="AC743" t="str">
        <f>"2022-08-25T00:00:00"</f>
        <v>2022-08-25T00:00:00</v>
      </c>
      <c r="AD743" t="str">
        <f>"1"</f>
        <v>1</v>
      </c>
      <c r="AG743" t="s">
        <v>202</v>
      </c>
      <c r="AI743" t="s">
        <v>269</v>
      </c>
      <c r="AJ743" t="s">
        <v>570</v>
      </c>
      <c r="AK743" t="s">
        <v>261</v>
      </c>
      <c r="AL743" t="s">
        <v>206</v>
      </c>
      <c r="AN743" t="s">
        <v>207</v>
      </c>
      <c r="AO743">
        <v>2</v>
      </c>
      <c r="AP743" t="s">
        <v>208</v>
      </c>
      <c r="AQ743" t="s">
        <v>209</v>
      </c>
      <c r="AR743" t="s">
        <v>502</v>
      </c>
      <c r="AW743" t="s">
        <v>212</v>
      </c>
      <c r="AZ743" t="s">
        <v>209</v>
      </c>
      <c r="BI743" t="s">
        <v>212</v>
      </c>
      <c r="BJ743" t="s">
        <v>213</v>
      </c>
      <c r="BK743" t="s">
        <v>214</v>
      </c>
      <c r="BL743" t="s">
        <v>357</v>
      </c>
      <c r="BN743" t="s">
        <v>247</v>
      </c>
      <c r="BO743" t="s">
        <v>209</v>
      </c>
      <c r="BP743" t="s">
        <v>241</v>
      </c>
      <c r="BQ743">
        <v>3</v>
      </c>
      <c r="BS743" t="s">
        <v>220</v>
      </c>
      <c r="BU743" t="s">
        <v>212</v>
      </c>
      <c r="BX743" t="s">
        <v>234</v>
      </c>
      <c r="BY743" t="s">
        <v>234</v>
      </c>
      <c r="BZ743" t="s">
        <v>571</v>
      </c>
      <c r="CA743" t="s">
        <v>287</v>
      </c>
      <c r="CC743" t="s">
        <v>222</v>
      </c>
      <c r="CD743" t="s">
        <v>223</v>
      </c>
      <c r="CE743" t="s">
        <v>242</v>
      </c>
      <c r="CJ743" t="s">
        <v>206</v>
      </c>
      <c r="CK743" t="s">
        <v>230</v>
      </c>
      <c r="CL743" t="s">
        <v>231</v>
      </c>
      <c r="CM743" t="s">
        <v>232</v>
      </c>
      <c r="CN743" t="s">
        <v>233</v>
      </c>
      <c r="CP743" t="s">
        <v>212</v>
      </c>
      <c r="CQ743" t="s">
        <v>212</v>
      </c>
      <c r="CR743" t="s">
        <v>212</v>
      </c>
      <c r="CS743" t="s">
        <v>212</v>
      </c>
      <c r="CY743" t="s">
        <v>212</v>
      </c>
      <c r="DB743" t="s">
        <v>234</v>
      </c>
      <c r="DE743" t="s">
        <v>212</v>
      </c>
      <c r="DF743" t="s">
        <v>212</v>
      </c>
      <c r="DG743" t="s">
        <v>235</v>
      </c>
      <c r="DH743" t="s">
        <v>212</v>
      </c>
      <c r="DJ743" t="s">
        <v>236</v>
      </c>
      <c r="DM743" t="s">
        <v>212</v>
      </c>
    </row>
    <row r="744" spans="1:117" x14ac:dyDescent="0.3">
      <c r="A744">
        <v>24263227</v>
      </c>
      <c r="B744">
        <v>8734762</v>
      </c>
      <c r="C744" t="str">
        <f>"150927504401"</f>
        <v>150927504401</v>
      </c>
      <c r="D744" t="s">
        <v>1911</v>
      </c>
      <c r="E744" t="s">
        <v>410</v>
      </c>
      <c r="F744" t="s">
        <v>239</v>
      </c>
      <c r="G744" s="1">
        <v>42274</v>
      </c>
      <c r="I744" t="s">
        <v>240</v>
      </c>
      <c r="J744" t="s">
        <v>200</v>
      </c>
      <c r="K744" t="s">
        <v>260</v>
      </c>
      <c r="R744" t="str">
        <f>"КАЗАХСТАН, АКМОЛИНСКАЯ, СТЕПНОГОРСК, 12, 77"</f>
        <v>КАЗАХСТАН, АКМОЛИНСКАЯ, СТЕПНОГОРСК, 12, 77</v>
      </c>
      <c r="S744" t="str">
        <f>"ҚАЗАҚСТАН, АҚМОЛА, СТЕПНОГОР, 12, 77"</f>
        <v>ҚАЗАҚСТАН, АҚМОЛА, СТЕПНОГОР, 12, 77</v>
      </c>
      <c r="T744" t="str">
        <f>"12, 77"</f>
        <v>12, 77</v>
      </c>
      <c r="U744" t="str">
        <f>"12, 77"</f>
        <v>12, 77</v>
      </c>
      <c r="AC744" t="str">
        <f>"2022-08-25T00:00:00"</f>
        <v>2022-08-25T00:00:00</v>
      </c>
      <c r="AD744" t="str">
        <f>"1"</f>
        <v>1</v>
      </c>
      <c r="AG744" t="s">
        <v>202</v>
      </c>
      <c r="AI744" t="s">
        <v>269</v>
      </c>
      <c r="AJ744" t="s">
        <v>570</v>
      </c>
      <c r="AK744" t="s">
        <v>261</v>
      </c>
      <c r="AL744" t="s">
        <v>206</v>
      </c>
      <c r="AN744" t="s">
        <v>207</v>
      </c>
      <c r="AO744">
        <v>2</v>
      </c>
      <c r="AP744" t="s">
        <v>208</v>
      </c>
      <c r="AQ744" t="s">
        <v>209</v>
      </c>
      <c r="AR744" t="s">
        <v>502</v>
      </c>
      <c r="AW744" t="s">
        <v>212</v>
      </c>
      <c r="AZ744" t="s">
        <v>209</v>
      </c>
      <c r="BI744" t="s">
        <v>212</v>
      </c>
      <c r="BJ744" t="s">
        <v>213</v>
      </c>
      <c r="BK744" t="s">
        <v>214</v>
      </c>
      <c r="BL744" t="s">
        <v>357</v>
      </c>
      <c r="BN744" t="s">
        <v>216</v>
      </c>
      <c r="BO744" t="s">
        <v>209</v>
      </c>
      <c r="BP744" t="s">
        <v>241</v>
      </c>
      <c r="BQ744">
        <v>4</v>
      </c>
      <c r="BS744" t="s">
        <v>220</v>
      </c>
      <c r="BU744" t="s">
        <v>212</v>
      </c>
      <c r="BZ744" t="s">
        <v>571</v>
      </c>
      <c r="CA744" t="s">
        <v>287</v>
      </c>
      <c r="CC744" t="s">
        <v>222</v>
      </c>
      <c r="CD744" t="s">
        <v>223</v>
      </c>
      <c r="CE744" t="s">
        <v>242</v>
      </c>
      <c r="CJ744" t="s">
        <v>206</v>
      </c>
      <c r="CK744" t="s">
        <v>230</v>
      </c>
      <c r="CL744" t="s">
        <v>231</v>
      </c>
      <c r="CM744" t="s">
        <v>232</v>
      </c>
      <c r="CN744" t="s">
        <v>233</v>
      </c>
      <c r="CP744" t="s">
        <v>212</v>
      </c>
      <c r="CQ744" t="s">
        <v>212</v>
      </c>
      <c r="CR744" t="s">
        <v>212</v>
      </c>
      <c r="CS744" t="s">
        <v>212</v>
      </c>
      <c r="CY744" t="s">
        <v>212</v>
      </c>
      <c r="DB744" t="s">
        <v>234</v>
      </c>
      <c r="DE744" t="s">
        <v>212</v>
      </c>
      <c r="DF744" t="s">
        <v>212</v>
      </c>
      <c r="DG744" t="s">
        <v>235</v>
      </c>
      <c r="DH744" t="s">
        <v>212</v>
      </c>
      <c r="DJ744" t="s">
        <v>236</v>
      </c>
      <c r="DM744" t="s">
        <v>212</v>
      </c>
    </row>
    <row r="745" spans="1:117" x14ac:dyDescent="0.3">
      <c r="A745">
        <v>24263235</v>
      </c>
      <c r="B745">
        <v>148040</v>
      </c>
      <c r="C745" t="str">
        <f>"120214605167"</f>
        <v>120214605167</v>
      </c>
      <c r="D745" t="s">
        <v>1912</v>
      </c>
      <c r="E745" t="s">
        <v>1562</v>
      </c>
      <c r="F745" t="s">
        <v>1913</v>
      </c>
      <c r="G745" s="1">
        <v>40953</v>
      </c>
      <c r="I745" t="s">
        <v>199</v>
      </c>
      <c r="J745" t="s">
        <v>200</v>
      </c>
      <c r="K745" t="s">
        <v>201</v>
      </c>
      <c r="R745" t="str">
        <f>"КАЗАХСТАН, АКМОЛИНСКАЯ, ЗЕРЕНДИНСКИЙ РАЙОН, КАРАШІЛІК, 6, 2"</f>
        <v>КАЗАХСТАН, АКМОЛИНСКАЯ, ЗЕРЕНДИНСКИЙ РАЙОН, КАРАШІЛІК, 6, 2</v>
      </c>
      <c r="S745" t="str">
        <f>"ҚАЗАҚСТАН, АҚМОЛА, ЗЕРЕНДІ АУДАНЫ, КАРАШІЛІК, 6, 2"</f>
        <v>ҚАЗАҚСТАН, АҚМОЛА, ЗЕРЕНДІ АУДАНЫ, КАРАШІЛІК, 6, 2</v>
      </c>
      <c r="T745" t="str">
        <f>"КАРАШІЛІК, 6, 2"</f>
        <v>КАРАШІЛІК, 6, 2</v>
      </c>
      <c r="U745" t="str">
        <f>"КАРАШІЛІК, 6, 2"</f>
        <v>КАРАШІЛІК, 6, 2</v>
      </c>
      <c r="AC745" t="str">
        <f>"2022-08-25T00:00:00"</f>
        <v>2022-08-25T00:00:00</v>
      </c>
      <c r="AD745" t="str">
        <f>"1"</f>
        <v>1</v>
      </c>
      <c r="AE745" t="str">
        <f>"2023-09-01T00:17:25"</f>
        <v>2023-09-01T00:17:25</v>
      </c>
      <c r="AF745" t="str">
        <f>"2024-05-25T00:17:25"</f>
        <v>2024-05-25T00:17:25</v>
      </c>
      <c r="AG745" t="s">
        <v>202</v>
      </c>
      <c r="AI745" t="s">
        <v>274</v>
      </c>
      <c r="AJ745" t="s">
        <v>348</v>
      </c>
      <c r="AK745" t="s">
        <v>253</v>
      </c>
      <c r="AL745" t="s">
        <v>206</v>
      </c>
      <c r="AN745" t="s">
        <v>254</v>
      </c>
      <c r="AO745">
        <v>1</v>
      </c>
      <c r="AP745" t="s">
        <v>208</v>
      </c>
      <c r="AQ745" t="s">
        <v>209</v>
      </c>
      <c r="AR745" t="s">
        <v>210</v>
      </c>
      <c r="AW745" t="s">
        <v>206</v>
      </c>
      <c r="AX745" t="s">
        <v>211</v>
      </c>
      <c r="AZ745" t="s">
        <v>209</v>
      </c>
      <c r="BI745" t="s">
        <v>212</v>
      </c>
      <c r="BJ745" t="s">
        <v>213</v>
      </c>
      <c r="BK745" t="s">
        <v>214</v>
      </c>
      <c r="BL745" t="s">
        <v>215</v>
      </c>
      <c r="BN745" t="s">
        <v>247</v>
      </c>
      <c r="BO745" t="s">
        <v>209</v>
      </c>
      <c r="BP745" t="s">
        <v>983</v>
      </c>
      <c r="BQ745">
        <v>3</v>
      </c>
      <c r="BS745" t="s">
        <v>219</v>
      </c>
      <c r="BT745" t="s">
        <v>220</v>
      </c>
      <c r="BU745" t="s">
        <v>206</v>
      </c>
      <c r="CA745" t="s">
        <v>249</v>
      </c>
      <c r="CB745" t="s">
        <v>223</v>
      </c>
      <c r="CC745" t="s">
        <v>1914</v>
      </c>
      <c r="CD745" t="s">
        <v>810</v>
      </c>
      <c r="CE745" t="s">
        <v>242</v>
      </c>
      <c r="CJ745" t="s">
        <v>206</v>
      </c>
      <c r="CK745" t="s">
        <v>230</v>
      </c>
      <c r="CL745" t="s">
        <v>231</v>
      </c>
      <c r="CM745" t="s">
        <v>232</v>
      </c>
      <c r="CN745" t="s">
        <v>233</v>
      </c>
      <c r="CP745" t="s">
        <v>212</v>
      </c>
      <c r="CQ745" t="s">
        <v>212</v>
      </c>
      <c r="CR745" t="s">
        <v>212</v>
      </c>
      <c r="CS745" t="s">
        <v>212</v>
      </c>
      <c r="CY745" t="s">
        <v>212</v>
      </c>
      <c r="DB745" t="s">
        <v>234</v>
      </c>
      <c r="DE745" t="s">
        <v>212</v>
      </c>
      <c r="DF745" t="s">
        <v>212</v>
      </c>
      <c r="DG745" t="s">
        <v>235</v>
      </c>
      <c r="DH745" t="s">
        <v>212</v>
      </c>
      <c r="DJ745" t="s">
        <v>236</v>
      </c>
      <c r="DM745" t="s">
        <v>212</v>
      </c>
    </row>
    <row r="746" spans="1:117" x14ac:dyDescent="0.3">
      <c r="A746">
        <v>24277139</v>
      </c>
      <c r="B746">
        <v>173783</v>
      </c>
      <c r="C746" t="str">
        <f>"100916551345"</f>
        <v>100916551345</v>
      </c>
      <c r="D746" t="s">
        <v>1915</v>
      </c>
      <c r="E746" t="s">
        <v>1916</v>
      </c>
      <c r="F746" t="s">
        <v>1917</v>
      </c>
      <c r="G746" s="1">
        <v>40437</v>
      </c>
      <c r="I746" t="s">
        <v>240</v>
      </c>
      <c r="J746" t="s">
        <v>200</v>
      </c>
      <c r="K746" t="s">
        <v>201</v>
      </c>
      <c r="R746" t="str">
        <f>"АНДОРРА, АКМОЛИНСКАЯ, СТЕПНОГОРСК, 13, 79"</f>
        <v>АНДОРРА, АКМОЛИНСКАЯ, СТЕПНОГОРСК, 13, 79</v>
      </c>
      <c r="S746" t="str">
        <f>"АНДОРРА, АҚМОЛА, СТЕПНОГОР, 13, 79"</f>
        <v>АНДОРРА, АҚМОЛА, СТЕПНОГОР, 13, 79</v>
      </c>
      <c r="T746" t="str">
        <f>"13, 79"</f>
        <v>13, 79</v>
      </c>
      <c r="U746" t="str">
        <f>"13, 79"</f>
        <v>13, 79</v>
      </c>
      <c r="AC746" t="str">
        <f>"2022-11-08T00:00:00"</f>
        <v>2022-11-08T00:00:00</v>
      </c>
      <c r="AD746" t="str">
        <f>"173"</f>
        <v>173</v>
      </c>
      <c r="AG746" t="s">
        <v>202</v>
      </c>
      <c r="AI746" t="s">
        <v>274</v>
      </c>
      <c r="AJ746" t="s">
        <v>300</v>
      </c>
      <c r="AK746" t="s">
        <v>261</v>
      </c>
      <c r="AL746" t="s">
        <v>206</v>
      </c>
      <c r="AN746" t="s">
        <v>207</v>
      </c>
      <c r="AO746">
        <v>1</v>
      </c>
      <c r="AP746" t="s">
        <v>208</v>
      </c>
      <c r="AQ746" t="s">
        <v>209</v>
      </c>
      <c r="AR746" t="s">
        <v>210</v>
      </c>
      <c r="AW746" t="s">
        <v>206</v>
      </c>
      <c r="AX746" t="s">
        <v>211</v>
      </c>
      <c r="AZ746" t="s">
        <v>209</v>
      </c>
      <c r="BI746" t="s">
        <v>212</v>
      </c>
      <c r="BJ746" t="s">
        <v>213</v>
      </c>
      <c r="BK746" t="s">
        <v>214</v>
      </c>
      <c r="BL746" t="s">
        <v>215</v>
      </c>
      <c r="BN746" t="s">
        <v>247</v>
      </c>
      <c r="BO746" t="s">
        <v>209</v>
      </c>
      <c r="BP746" t="s">
        <v>983</v>
      </c>
      <c r="BQ746">
        <v>4</v>
      </c>
      <c r="BS746" t="s">
        <v>219</v>
      </c>
      <c r="BT746" t="s">
        <v>220</v>
      </c>
      <c r="BU746" t="s">
        <v>206</v>
      </c>
      <c r="CA746" t="s">
        <v>256</v>
      </c>
      <c r="CB746" t="s">
        <v>223</v>
      </c>
      <c r="CC746" t="s">
        <v>222</v>
      </c>
      <c r="CD746" t="s">
        <v>223</v>
      </c>
      <c r="CE746" t="s">
        <v>225</v>
      </c>
      <c r="CF746" t="s">
        <v>226</v>
      </c>
      <c r="CG746" t="s">
        <v>227</v>
      </c>
      <c r="CH746" t="s">
        <v>1918</v>
      </c>
      <c r="CI746" t="s">
        <v>1919</v>
      </c>
      <c r="CJ746" t="s">
        <v>206</v>
      </c>
      <c r="CK746" t="s">
        <v>230</v>
      </c>
      <c r="CL746" t="s">
        <v>231</v>
      </c>
      <c r="CM746" t="s">
        <v>232</v>
      </c>
      <c r="CN746" t="s">
        <v>233</v>
      </c>
      <c r="CP746" t="s">
        <v>212</v>
      </c>
      <c r="CQ746" t="s">
        <v>212</v>
      </c>
      <c r="CR746" t="s">
        <v>212</v>
      </c>
      <c r="CS746" t="s">
        <v>212</v>
      </c>
      <c r="CY746" t="s">
        <v>212</v>
      </c>
      <c r="DB746" t="s">
        <v>234</v>
      </c>
      <c r="DE746" t="s">
        <v>212</v>
      </c>
      <c r="DF746" t="s">
        <v>212</v>
      </c>
      <c r="DG746" t="s">
        <v>235</v>
      </c>
      <c r="DH746" t="s">
        <v>212</v>
      </c>
      <c r="DJ746" t="s">
        <v>236</v>
      </c>
      <c r="DM746" t="s">
        <v>212</v>
      </c>
    </row>
    <row r="747" spans="1:117" x14ac:dyDescent="0.3">
      <c r="A747">
        <v>24334784</v>
      </c>
      <c r="B747">
        <v>840075</v>
      </c>
      <c r="C747" t="str">
        <f>"150829600313"</f>
        <v>150829600313</v>
      </c>
      <c r="D747" t="s">
        <v>1920</v>
      </c>
      <c r="E747" t="s">
        <v>625</v>
      </c>
      <c r="F747" t="s">
        <v>1921</v>
      </c>
      <c r="G747" s="1">
        <v>42245</v>
      </c>
      <c r="I747" t="s">
        <v>199</v>
      </c>
      <c r="J747" t="s">
        <v>200</v>
      </c>
      <c r="K747" t="s">
        <v>201</v>
      </c>
      <c r="R747" t="str">
        <f>"КАЗАХСТАН, АКМОЛИНСКАЯ, СТЕПНОГОРСК, 49, 13"</f>
        <v>КАЗАХСТАН, АКМОЛИНСКАЯ, СТЕПНОГОРСК, 49, 13</v>
      </c>
      <c r="S747" t="str">
        <f>"ҚАЗАҚСТАН, АҚМОЛА, СТЕПНОГОР, 49, 13"</f>
        <v>ҚАЗАҚСТАН, АҚМОЛА, СТЕПНОГОР, 49, 13</v>
      </c>
      <c r="T747" t="str">
        <f>"49, 13"</f>
        <v>49, 13</v>
      </c>
      <c r="U747" t="str">
        <f>"49, 13"</f>
        <v>49, 13</v>
      </c>
      <c r="AC747" t="str">
        <f>"2022-11-09T00:00:00"</f>
        <v>2022-11-09T00:00:00</v>
      </c>
      <c r="AD747" t="str">
        <f>"174"</f>
        <v>174</v>
      </c>
      <c r="AE747" t="str">
        <f>"2023-09-01T17:15:55"</f>
        <v>2023-09-01T17:15:55</v>
      </c>
      <c r="AF747" t="str">
        <f>"2024-05-25T17:15:55"</f>
        <v>2024-05-25T17:15:55</v>
      </c>
      <c r="AG747" t="s">
        <v>202</v>
      </c>
      <c r="AI747" t="s">
        <v>299</v>
      </c>
      <c r="AJ747" t="s">
        <v>570</v>
      </c>
      <c r="AK747" t="s">
        <v>434</v>
      </c>
      <c r="AL747" t="s">
        <v>206</v>
      </c>
      <c r="AN747" t="s">
        <v>254</v>
      </c>
      <c r="AO747">
        <v>2</v>
      </c>
      <c r="AP747" t="s">
        <v>208</v>
      </c>
      <c r="AQ747" t="s">
        <v>209</v>
      </c>
      <c r="AR747" t="s">
        <v>502</v>
      </c>
      <c r="AW747" t="s">
        <v>212</v>
      </c>
      <c r="AZ747" t="s">
        <v>209</v>
      </c>
      <c r="BI747" t="s">
        <v>212</v>
      </c>
      <c r="BJ747" t="s">
        <v>213</v>
      </c>
      <c r="BK747" t="s">
        <v>214</v>
      </c>
      <c r="BL747" t="s">
        <v>357</v>
      </c>
      <c r="BN747" t="s">
        <v>281</v>
      </c>
      <c r="BO747" t="s">
        <v>209</v>
      </c>
      <c r="BP747" t="s">
        <v>241</v>
      </c>
      <c r="BQ747">
        <v>5</v>
      </c>
      <c r="BS747" t="s">
        <v>220</v>
      </c>
      <c r="BU747" t="s">
        <v>212</v>
      </c>
      <c r="BZ747" t="s">
        <v>571</v>
      </c>
      <c r="CA747" t="s">
        <v>222</v>
      </c>
      <c r="CB747" t="s">
        <v>223</v>
      </c>
      <c r="CC747" t="s">
        <v>222</v>
      </c>
      <c r="CD747" t="s">
        <v>349</v>
      </c>
      <c r="CE747" t="s">
        <v>762</v>
      </c>
      <c r="CF747" t="s">
        <v>763</v>
      </c>
      <c r="CG747" t="s">
        <v>764</v>
      </c>
      <c r="CH747" t="s">
        <v>566</v>
      </c>
      <c r="CI747" t="s">
        <v>1922</v>
      </c>
      <c r="CJ747" t="s">
        <v>206</v>
      </c>
      <c r="CK747" t="s">
        <v>230</v>
      </c>
      <c r="CL747" t="s">
        <v>231</v>
      </c>
      <c r="CM747" t="s">
        <v>232</v>
      </c>
      <c r="CN747" t="s">
        <v>233</v>
      </c>
      <c r="CP747" t="s">
        <v>212</v>
      </c>
      <c r="CQ747" t="s">
        <v>212</v>
      </c>
      <c r="CR747" t="s">
        <v>212</v>
      </c>
      <c r="CS747" t="s">
        <v>212</v>
      </c>
      <c r="CY747" t="s">
        <v>212</v>
      </c>
      <c r="DB747" t="s">
        <v>234</v>
      </c>
      <c r="DE747" t="s">
        <v>212</v>
      </c>
      <c r="DF747" t="s">
        <v>212</v>
      </c>
      <c r="DG747" t="s">
        <v>235</v>
      </c>
      <c r="DH747" t="s">
        <v>212</v>
      </c>
      <c r="DJ747" t="s">
        <v>236</v>
      </c>
      <c r="DM747" t="s">
        <v>212</v>
      </c>
    </row>
    <row r="748" spans="1:117" x14ac:dyDescent="0.3">
      <c r="A748">
        <v>24386716</v>
      </c>
      <c r="B748">
        <v>164928</v>
      </c>
      <c r="C748" t="str">
        <f>"100205652502"</f>
        <v>100205652502</v>
      </c>
      <c r="D748" t="s">
        <v>1923</v>
      </c>
      <c r="E748" t="s">
        <v>991</v>
      </c>
      <c r="F748" t="s">
        <v>1924</v>
      </c>
      <c r="G748" s="1">
        <v>40214</v>
      </c>
      <c r="I748" t="s">
        <v>199</v>
      </c>
      <c r="J748" t="s">
        <v>200</v>
      </c>
      <c r="K748" t="s">
        <v>201</v>
      </c>
      <c r="Q748" t="s">
        <v>212</v>
      </c>
      <c r="R748" t="str">
        <f>"АНДОРРА, АКМОЛИНСКАЯ, СТЕПНОГОРСК, Заводской, 15, 2"</f>
        <v>АНДОРРА, АКМОЛИНСКАЯ, СТЕПНОГОРСК, Заводской, 15, 2</v>
      </c>
      <c r="S748" t="str">
        <f>"АНДОРРА, АҚМОЛА, СТЕПНОГОР, Заводской, 15, 2"</f>
        <v>АНДОРРА, АҚМОЛА, СТЕПНОГОР, Заводской, 15, 2</v>
      </c>
      <c r="T748" t="str">
        <f>"Заводской, 15, 2"</f>
        <v>Заводской, 15, 2</v>
      </c>
      <c r="U748" t="str">
        <f>"Заводской, 15, 2"</f>
        <v>Заводской, 15, 2</v>
      </c>
      <c r="AC748" t="str">
        <f>"2022-12-05T00:00:00"</f>
        <v>2022-12-05T00:00:00</v>
      </c>
      <c r="AD748" t="str">
        <f>"179"</f>
        <v>179</v>
      </c>
      <c r="AG748" t="s">
        <v>202</v>
      </c>
      <c r="AH748" t="str">
        <f>"ckool007@mail.ru"</f>
        <v>ckool007@mail.ru</v>
      </c>
      <c r="AI748" t="s">
        <v>299</v>
      </c>
      <c r="AJ748" t="s">
        <v>286</v>
      </c>
      <c r="AK748" t="s">
        <v>261</v>
      </c>
      <c r="AL748" t="s">
        <v>206</v>
      </c>
      <c r="AN748" t="s">
        <v>207</v>
      </c>
      <c r="AO748">
        <v>1</v>
      </c>
      <c r="AP748" t="s">
        <v>208</v>
      </c>
      <c r="AQ748" t="s">
        <v>209</v>
      </c>
      <c r="AR748" t="s">
        <v>210</v>
      </c>
      <c r="AW748" t="s">
        <v>206</v>
      </c>
      <c r="AX748" t="s">
        <v>211</v>
      </c>
      <c r="AZ748" t="s">
        <v>209</v>
      </c>
      <c r="BI748" t="s">
        <v>212</v>
      </c>
      <c r="BJ748" t="s">
        <v>213</v>
      </c>
      <c r="BK748" t="s">
        <v>214</v>
      </c>
      <c r="BL748" t="s">
        <v>215</v>
      </c>
      <c r="BN748" t="s">
        <v>216</v>
      </c>
      <c r="BO748" t="s">
        <v>209</v>
      </c>
      <c r="BP748" t="s">
        <v>241</v>
      </c>
      <c r="BQ748">
        <v>4</v>
      </c>
      <c r="BS748" t="s">
        <v>219</v>
      </c>
      <c r="BT748" t="s">
        <v>220</v>
      </c>
      <c r="BU748" t="s">
        <v>206</v>
      </c>
      <c r="CA748" t="s">
        <v>263</v>
      </c>
      <c r="CB748" t="s">
        <v>223</v>
      </c>
      <c r="CC748" t="s">
        <v>222</v>
      </c>
      <c r="CD748" t="s">
        <v>223</v>
      </c>
      <c r="CE748" t="s">
        <v>242</v>
      </c>
      <c r="CJ748" t="s">
        <v>206</v>
      </c>
      <c r="CK748" t="s">
        <v>230</v>
      </c>
      <c r="CL748" t="s">
        <v>231</v>
      </c>
      <c r="CM748" t="s">
        <v>232</v>
      </c>
      <c r="CN748" t="s">
        <v>233</v>
      </c>
      <c r="CP748" t="s">
        <v>212</v>
      </c>
      <c r="CQ748" t="s">
        <v>212</v>
      </c>
      <c r="CR748" t="s">
        <v>212</v>
      </c>
      <c r="CS748" t="s">
        <v>212</v>
      </c>
      <c r="CY748" t="s">
        <v>212</v>
      </c>
      <c r="DB748" t="s">
        <v>234</v>
      </c>
      <c r="DE748" t="s">
        <v>212</v>
      </c>
      <c r="DF748" t="s">
        <v>212</v>
      </c>
      <c r="DG748" t="s">
        <v>235</v>
      </c>
      <c r="DH748" t="s">
        <v>212</v>
      </c>
      <c r="DJ748" t="s">
        <v>236</v>
      </c>
      <c r="DM748" t="s">
        <v>212</v>
      </c>
    </row>
    <row r="749" spans="1:117" x14ac:dyDescent="0.3">
      <c r="A749">
        <v>24411756</v>
      </c>
      <c r="B749">
        <v>316396</v>
      </c>
      <c r="C749" t="str">
        <f>"081018550272"</f>
        <v>081018550272</v>
      </c>
      <c r="D749" t="s">
        <v>556</v>
      </c>
      <c r="E749" t="s">
        <v>1925</v>
      </c>
      <c r="F749" t="s">
        <v>558</v>
      </c>
      <c r="G749" s="1">
        <v>39739</v>
      </c>
      <c r="I749" t="s">
        <v>240</v>
      </c>
      <c r="J749" t="s">
        <v>200</v>
      </c>
      <c r="K749" t="s">
        <v>260</v>
      </c>
      <c r="Q749" t="s">
        <v>212</v>
      </c>
      <c r="R749" t="str">
        <f>"КАЗАХСТАН, АКМОЛИНСКАЯ, СТЕПНОГОРСК, 79, 12"</f>
        <v>КАЗАХСТАН, АКМОЛИНСКАЯ, СТЕПНОГОРСК, 79, 12</v>
      </c>
      <c r="S749" t="str">
        <f>"ҚАЗАҚСТАН, АҚМОЛА, СТЕПНОГОР, 79, 12"</f>
        <v>ҚАЗАҚСТАН, АҚМОЛА, СТЕПНОГОР, 79, 12</v>
      </c>
      <c r="T749" t="str">
        <f>"79, 12"</f>
        <v>79, 12</v>
      </c>
      <c r="U749" t="str">
        <f>"79, 12"</f>
        <v>79, 12</v>
      </c>
      <c r="AC749" t="str">
        <f>"2022-12-12T00:00:00"</f>
        <v>2022-12-12T00:00:00</v>
      </c>
      <c r="AD749" t="str">
        <f>"182"</f>
        <v>182</v>
      </c>
      <c r="AG749" t="s">
        <v>333</v>
      </c>
      <c r="AH749" t="str">
        <f>"ckool007@mail.ru"</f>
        <v>ckool007@mail.ru</v>
      </c>
      <c r="AI749" t="s">
        <v>203</v>
      </c>
      <c r="AJ749" t="s">
        <v>204</v>
      </c>
      <c r="AK749" t="s">
        <v>261</v>
      </c>
      <c r="AL749" t="s">
        <v>206</v>
      </c>
      <c r="AN749" t="s">
        <v>207</v>
      </c>
      <c r="AO749">
        <v>1</v>
      </c>
      <c r="AP749" t="s">
        <v>208</v>
      </c>
      <c r="AQ749" t="s">
        <v>209</v>
      </c>
      <c r="AR749" t="s">
        <v>210</v>
      </c>
      <c r="AW749" t="s">
        <v>212</v>
      </c>
      <c r="AZ749" t="s">
        <v>209</v>
      </c>
      <c r="BI749" t="s">
        <v>212</v>
      </c>
      <c r="BJ749" t="s">
        <v>213</v>
      </c>
      <c r="BK749" t="s">
        <v>214</v>
      </c>
      <c r="BL749" t="s">
        <v>215</v>
      </c>
      <c r="BN749" t="s">
        <v>247</v>
      </c>
      <c r="BO749" t="s">
        <v>209</v>
      </c>
      <c r="BP749" t="s">
        <v>241</v>
      </c>
      <c r="BQ749">
        <v>3</v>
      </c>
      <c r="BS749" t="s">
        <v>219</v>
      </c>
      <c r="BT749" t="s">
        <v>220</v>
      </c>
      <c r="BU749" t="s">
        <v>206</v>
      </c>
      <c r="CA749" t="s">
        <v>222</v>
      </c>
      <c r="CB749" t="s">
        <v>223</v>
      </c>
      <c r="CC749" t="s">
        <v>222</v>
      </c>
      <c r="CD749" t="s">
        <v>223</v>
      </c>
      <c r="CE749" t="s">
        <v>242</v>
      </c>
      <c r="CJ749" t="s">
        <v>206</v>
      </c>
      <c r="CK749" t="s">
        <v>230</v>
      </c>
      <c r="CL749" t="s">
        <v>231</v>
      </c>
      <c r="CM749" t="s">
        <v>232</v>
      </c>
      <c r="CN749" t="s">
        <v>233</v>
      </c>
      <c r="CP749" t="s">
        <v>212</v>
      </c>
      <c r="CQ749" t="s">
        <v>212</v>
      </c>
      <c r="CR749" t="s">
        <v>212</v>
      </c>
      <c r="CS749" t="s">
        <v>212</v>
      </c>
      <c r="CY749" t="s">
        <v>212</v>
      </c>
      <c r="DB749" t="s">
        <v>234</v>
      </c>
      <c r="DE749" t="s">
        <v>212</v>
      </c>
      <c r="DF749" t="s">
        <v>212</v>
      </c>
      <c r="DG749" t="s">
        <v>235</v>
      </c>
      <c r="DH749" t="s">
        <v>212</v>
      </c>
      <c r="DJ749" t="s">
        <v>236</v>
      </c>
      <c r="DM749" t="s">
        <v>212</v>
      </c>
    </row>
    <row r="750" spans="1:117" x14ac:dyDescent="0.3">
      <c r="A750">
        <v>24415945</v>
      </c>
      <c r="B750">
        <v>285077</v>
      </c>
      <c r="C750" t="str">
        <f>"101227600691"</f>
        <v>101227600691</v>
      </c>
      <c r="D750" t="s">
        <v>1926</v>
      </c>
      <c r="E750" t="s">
        <v>1927</v>
      </c>
      <c r="F750" t="s">
        <v>805</v>
      </c>
      <c r="G750" s="1">
        <v>40539</v>
      </c>
      <c r="I750" t="s">
        <v>199</v>
      </c>
      <c r="J750" t="s">
        <v>200</v>
      </c>
      <c r="K750" t="s">
        <v>260</v>
      </c>
      <c r="R750" t="str">
        <f>"КАЗАХСТАН, АКМОЛИНСКАЯ, СТЕПНОГОРСК, 39, 49"</f>
        <v>КАЗАХСТАН, АКМОЛИНСКАЯ, СТЕПНОГОРСК, 39, 49</v>
      </c>
      <c r="S750" t="str">
        <f>"ҚАЗАҚСТАН, АҚМОЛА, СТЕПНОГОР, 39, 49"</f>
        <v>ҚАЗАҚСТАН, АҚМОЛА, СТЕПНОГОР, 39, 49</v>
      </c>
      <c r="T750" t="str">
        <f>"39, 49"</f>
        <v>39, 49</v>
      </c>
      <c r="U750" t="str">
        <f>"39, 49"</f>
        <v>39, 49</v>
      </c>
      <c r="AC750" t="str">
        <f>"2022-11-04T00:00:00"</f>
        <v>2022-11-04T00:00:00</v>
      </c>
      <c r="AD750" t="str">
        <f>"167"</f>
        <v>167</v>
      </c>
      <c r="AG750" t="s">
        <v>202</v>
      </c>
      <c r="AI750" t="s">
        <v>203</v>
      </c>
      <c r="AJ750" t="s">
        <v>300</v>
      </c>
      <c r="AK750" t="s">
        <v>246</v>
      </c>
      <c r="AL750" t="s">
        <v>206</v>
      </c>
      <c r="AN750" t="s">
        <v>207</v>
      </c>
      <c r="AO750">
        <v>1</v>
      </c>
      <c r="AP750" t="s">
        <v>208</v>
      </c>
      <c r="AQ750" t="s">
        <v>209</v>
      </c>
      <c r="AR750" t="s">
        <v>210</v>
      </c>
      <c r="AW750" t="s">
        <v>206</v>
      </c>
      <c r="AX750" t="s">
        <v>211</v>
      </c>
      <c r="AZ750" t="s">
        <v>209</v>
      </c>
      <c r="BI750" t="s">
        <v>212</v>
      </c>
      <c r="BJ750" t="s">
        <v>213</v>
      </c>
      <c r="BK750" t="s">
        <v>214</v>
      </c>
      <c r="BL750" t="s">
        <v>215</v>
      </c>
      <c r="BN750" t="s">
        <v>247</v>
      </c>
      <c r="BO750" t="s">
        <v>209</v>
      </c>
      <c r="BP750" t="s">
        <v>983</v>
      </c>
      <c r="BQ750">
        <v>4</v>
      </c>
      <c r="BS750" t="s">
        <v>219</v>
      </c>
      <c r="BT750" t="s">
        <v>220</v>
      </c>
      <c r="BU750" t="s">
        <v>206</v>
      </c>
      <c r="CA750" t="s">
        <v>222</v>
      </c>
      <c r="CB750" t="s">
        <v>223</v>
      </c>
      <c r="CC750" t="s">
        <v>222</v>
      </c>
      <c r="CD750" t="s">
        <v>223</v>
      </c>
      <c r="CE750" t="s">
        <v>242</v>
      </c>
      <c r="CJ750" t="s">
        <v>206</v>
      </c>
      <c r="CK750" t="s">
        <v>230</v>
      </c>
      <c r="CL750" t="s">
        <v>231</v>
      </c>
      <c r="CM750" t="s">
        <v>232</v>
      </c>
      <c r="CN750" t="s">
        <v>233</v>
      </c>
      <c r="CP750" t="s">
        <v>212</v>
      </c>
      <c r="CQ750" t="s">
        <v>212</v>
      </c>
      <c r="CR750" t="s">
        <v>212</v>
      </c>
      <c r="CS750" t="s">
        <v>212</v>
      </c>
      <c r="CY750" t="s">
        <v>212</v>
      </c>
      <c r="DB750" t="s">
        <v>234</v>
      </c>
      <c r="DE750" t="s">
        <v>212</v>
      </c>
      <c r="DF750" t="s">
        <v>212</v>
      </c>
      <c r="DG750" t="s">
        <v>235</v>
      </c>
      <c r="DH750" t="s">
        <v>212</v>
      </c>
      <c r="DJ750" t="s">
        <v>236</v>
      </c>
      <c r="DM750" t="s">
        <v>212</v>
      </c>
    </row>
    <row r="751" spans="1:117" x14ac:dyDescent="0.3">
      <c r="A751">
        <v>24445127</v>
      </c>
      <c r="B751">
        <v>313043</v>
      </c>
      <c r="C751" t="str">
        <f>"081102651005"</f>
        <v>081102651005</v>
      </c>
      <c r="D751" t="s">
        <v>1928</v>
      </c>
      <c r="E751" t="s">
        <v>347</v>
      </c>
      <c r="F751" t="s">
        <v>921</v>
      </c>
      <c r="G751" s="1">
        <v>39754</v>
      </c>
      <c r="I751" t="s">
        <v>199</v>
      </c>
      <c r="J751" t="s">
        <v>200</v>
      </c>
      <c r="K751" t="s">
        <v>260</v>
      </c>
      <c r="R751" t="str">
        <f>"АНДОРРА, АКМОЛИНСКАЯ, СТЕПНОГОРСК, -, 26, 23"</f>
        <v>АНДОРРА, АКМОЛИНСКАЯ, СТЕПНОГОРСК, -, 26, 23</v>
      </c>
      <c r="S751" t="str">
        <f>"АНДОРРА, АҚМОЛА, СТЕПНОГОР, -, 26, 23"</f>
        <v>АНДОРРА, АҚМОЛА, СТЕПНОГОР, -, 26, 23</v>
      </c>
      <c r="T751" t="str">
        <f>"-, 26, 23"</f>
        <v>-, 26, 23</v>
      </c>
      <c r="U751" t="str">
        <f>"-, 26, 23"</f>
        <v>-, 26, 23</v>
      </c>
      <c r="AC751" t="str">
        <f>"2023-01-09T00:00:00"</f>
        <v>2023-01-09T00:00:00</v>
      </c>
      <c r="AD751" t="str">
        <f>"88"</f>
        <v>88</v>
      </c>
      <c r="AG751" t="s">
        <v>646</v>
      </c>
      <c r="AH751" t="str">
        <f>"gaukhar.tleukulova@mail.ru"</f>
        <v>gaukhar.tleukulova@mail.ru</v>
      </c>
      <c r="AI751" t="s">
        <v>203</v>
      </c>
      <c r="AJ751" t="s">
        <v>204</v>
      </c>
      <c r="AK751" t="s">
        <v>261</v>
      </c>
      <c r="AL751" t="s">
        <v>206</v>
      </c>
      <c r="AN751" t="s">
        <v>207</v>
      </c>
      <c r="AO751">
        <v>1</v>
      </c>
      <c r="AP751" t="s">
        <v>208</v>
      </c>
      <c r="AQ751" t="s">
        <v>209</v>
      </c>
      <c r="AR751" t="s">
        <v>210</v>
      </c>
      <c r="AW751" t="s">
        <v>206</v>
      </c>
      <c r="AX751" t="s">
        <v>211</v>
      </c>
      <c r="AZ751" t="s">
        <v>209</v>
      </c>
      <c r="BI751" t="s">
        <v>212</v>
      </c>
      <c r="BJ751" t="s">
        <v>213</v>
      </c>
      <c r="BK751" t="s">
        <v>214</v>
      </c>
      <c r="BL751" t="s">
        <v>215</v>
      </c>
      <c r="BN751" t="s">
        <v>281</v>
      </c>
      <c r="BO751" t="s">
        <v>209</v>
      </c>
      <c r="BP751" t="s">
        <v>217</v>
      </c>
      <c r="BQ751" t="s">
        <v>378</v>
      </c>
      <c r="BS751" t="s">
        <v>219</v>
      </c>
      <c r="BT751" t="s">
        <v>220</v>
      </c>
      <c r="BU751" t="s">
        <v>206</v>
      </c>
      <c r="CA751" t="s">
        <v>287</v>
      </c>
      <c r="CC751" t="s">
        <v>209</v>
      </c>
      <c r="CE751" t="s">
        <v>1929</v>
      </c>
      <c r="CF751" t="s">
        <v>1930</v>
      </c>
      <c r="CG751" t="s">
        <v>1931</v>
      </c>
      <c r="CH751" t="s">
        <v>1932</v>
      </c>
      <c r="CI751" t="s">
        <v>1933</v>
      </c>
      <c r="CJ751" t="s">
        <v>206</v>
      </c>
      <c r="CK751" t="s">
        <v>230</v>
      </c>
      <c r="CL751" t="s">
        <v>231</v>
      </c>
      <c r="CM751" t="s">
        <v>232</v>
      </c>
      <c r="CN751" t="s">
        <v>233</v>
      </c>
      <c r="CP751" t="s">
        <v>212</v>
      </c>
      <c r="CQ751" t="s">
        <v>212</v>
      </c>
      <c r="CR751" t="s">
        <v>212</v>
      </c>
      <c r="CS751" t="s">
        <v>212</v>
      </c>
      <c r="CY751" t="s">
        <v>212</v>
      </c>
      <c r="DB751" t="s">
        <v>234</v>
      </c>
      <c r="DE751" t="s">
        <v>212</v>
      </c>
      <c r="DF751" t="s">
        <v>212</v>
      </c>
      <c r="DG751" t="s">
        <v>235</v>
      </c>
      <c r="DH751" t="s">
        <v>212</v>
      </c>
      <c r="DJ751" t="s">
        <v>236</v>
      </c>
      <c r="DM751" t="s">
        <v>212</v>
      </c>
    </row>
    <row r="752" spans="1:117" x14ac:dyDescent="0.3">
      <c r="A752">
        <v>24467178</v>
      </c>
      <c r="B752">
        <v>862883</v>
      </c>
      <c r="C752" t="str">
        <f>"160514600283"</f>
        <v>160514600283</v>
      </c>
      <c r="D752" t="s">
        <v>1934</v>
      </c>
      <c r="E752" t="s">
        <v>1935</v>
      </c>
      <c r="F752" t="s">
        <v>1936</v>
      </c>
      <c r="G752" s="1">
        <v>42504</v>
      </c>
      <c r="I752" t="s">
        <v>199</v>
      </c>
      <c r="J752" t="s">
        <v>200</v>
      </c>
      <c r="K752" t="s">
        <v>201</v>
      </c>
      <c r="R752" t="str">
        <f>"КАЗАХСТАН, АКМОЛИНСКАЯ, СТЕПНОГОРСК, 23, 77"</f>
        <v>КАЗАХСТАН, АКМОЛИНСКАЯ, СТЕПНОГОРСК, 23, 77</v>
      </c>
      <c r="S752" t="str">
        <f>"ҚАЗАҚСТАН, АҚМОЛА, СТЕПНОГОР, 23, 77"</f>
        <v>ҚАЗАҚСТАН, АҚМОЛА, СТЕПНОГОР, 23, 77</v>
      </c>
      <c r="T752" t="str">
        <f>"23, 77"</f>
        <v>23, 77</v>
      </c>
      <c r="U752" t="str">
        <f>"23, 77"</f>
        <v>23, 77</v>
      </c>
      <c r="AC752" t="str">
        <f>"2023-01-09T00:00:00"</f>
        <v>2023-01-09T00:00:00</v>
      </c>
      <c r="AD752" t="str">
        <f>"8"</f>
        <v>8</v>
      </c>
      <c r="AG752" t="s">
        <v>202</v>
      </c>
      <c r="AI752" t="s">
        <v>274</v>
      </c>
      <c r="AJ752" t="s">
        <v>570</v>
      </c>
      <c r="AK752" t="s">
        <v>434</v>
      </c>
      <c r="AL752" t="s">
        <v>206</v>
      </c>
      <c r="AN752" t="s">
        <v>254</v>
      </c>
      <c r="AO752">
        <v>2</v>
      </c>
      <c r="AP752" t="s">
        <v>208</v>
      </c>
      <c r="AQ752" t="s">
        <v>209</v>
      </c>
      <c r="AR752" t="s">
        <v>502</v>
      </c>
      <c r="AW752" t="s">
        <v>212</v>
      </c>
      <c r="AZ752" t="s">
        <v>209</v>
      </c>
      <c r="BI752" t="s">
        <v>212</v>
      </c>
      <c r="BJ752" t="s">
        <v>213</v>
      </c>
      <c r="BK752" t="s">
        <v>214</v>
      </c>
      <c r="BL752" t="s">
        <v>357</v>
      </c>
      <c r="BN752" t="s">
        <v>216</v>
      </c>
      <c r="BO752" t="s">
        <v>209</v>
      </c>
      <c r="BP752" t="s">
        <v>241</v>
      </c>
      <c r="BQ752">
        <v>4</v>
      </c>
      <c r="BS752" t="s">
        <v>220</v>
      </c>
      <c r="BU752" t="s">
        <v>212</v>
      </c>
      <c r="BZ752" t="s">
        <v>571</v>
      </c>
      <c r="CA752" t="s">
        <v>287</v>
      </c>
      <c r="CC752" t="s">
        <v>224</v>
      </c>
      <c r="CD752" t="s">
        <v>223</v>
      </c>
      <c r="CE752" t="s">
        <v>342</v>
      </c>
      <c r="CF752" t="s">
        <v>610</v>
      </c>
      <c r="CG752" t="s">
        <v>343</v>
      </c>
      <c r="CH752" t="s">
        <v>627</v>
      </c>
      <c r="CI752" t="s">
        <v>628</v>
      </c>
      <c r="CJ752" t="s">
        <v>206</v>
      </c>
      <c r="CK752" t="s">
        <v>230</v>
      </c>
      <c r="CL752" t="s">
        <v>231</v>
      </c>
      <c r="CM752" t="s">
        <v>232</v>
      </c>
      <c r="CN752" t="s">
        <v>233</v>
      </c>
      <c r="CP752" t="s">
        <v>212</v>
      </c>
      <c r="CQ752" t="s">
        <v>212</v>
      </c>
      <c r="CR752" t="s">
        <v>212</v>
      </c>
      <c r="CS752" t="s">
        <v>212</v>
      </c>
      <c r="CY752" t="s">
        <v>212</v>
      </c>
      <c r="DB752" t="s">
        <v>234</v>
      </c>
      <c r="DE752" t="s">
        <v>212</v>
      </c>
      <c r="DF752" t="s">
        <v>212</v>
      </c>
      <c r="DG752" t="s">
        <v>235</v>
      </c>
      <c r="DH752" t="s">
        <v>212</v>
      </c>
      <c r="DJ752" t="s">
        <v>236</v>
      </c>
      <c r="DM752" t="s">
        <v>212</v>
      </c>
    </row>
    <row r="753" spans="1:184" x14ac:dyDescent="0.3">
      <c r="A753">
        <v>24467203</v>
      </c>
      <c r="B753">
        <v>756573</v>
      </c>
      <c r="C753" t="str">
        <f>"130619501657"</f>
        <v>130619501657</v>
      </c>
      <c r="D753" t="s">
        <v>1934</v>
      </c>
      <c r="E753" t="s">
        <v>1937</v>
      </c>
      <c r="F753" t="s">
        <v>1938</v>
      </c>
      <c r="G753" s="1">
        <v>41444</v>
      </c>
      <c r="I753" t="s">
        <v>240</v>
      </c>
      <c r="J753" t="s">
        <v>200</v>
      </c>
      <c r="K753" t="s">
        <v>201</v>
      </c>
      <c r="R753" t="str">
        <f>"КАЗАХСТАН, АКМОЛИНСКАЯ, СТЕПНОГОРСК, 23, 77"</f>
        <v>КАЗАХСТАН, АКМОЛИНСКАЯ, СТЕПНОГОРСК, 23, 77</v>
      </c>
      <c r="S753" t="str">
        <f>"ҚАЗАҚСТАН, АҚМОЛА, СТЕПНОГОР, 23, 77"</f>
        <v>ҚАЗАҚСТАН, АҚМОЛА, СТЕПНОГОР, 23, 77</v>
      </c>
      <c r="T753" t="str">
        <f>"23, 77"</f>
        <v>23, 77</v>
      </c>
      <c r="U753" t="str">
        <f>"23, 77"</f>
        <v>23, 77</v>
      </c>
      <c r="AC753" t="str">
        <f>"2023-01-09T00:00:00"</f>
        <v>2023-01-09T00:00:00</v>
      </c>
      <c r="AD753" t="str">
        <f>"8"</f>
        <v>8</v>
      </c>
      <c r="AG753" t="s">
        <v>202</v>
      </c>
      <c r="AI753" t="s">
        <v>274</v>
      </c>
      <c r="AJ753" t="s">
        <v>501</v>
      </c>
      <c r="AK753" t="s">
        <v>253</v>
      </c>
      <c r="AL753" t="s">
        <v>206</v>
      </c>
      <c r="AN753" t="s">
        <v>254</v>
      </c>
      <c r="AO753">
        <v>1</v>
      </c>
      <c r="AP753" t="s">
        <v>208</v>
      </c>
      <c r="AQ753" t="s">
        <v>209</v>
      </c>
      <c r="AR753" t="s">
        <v>502</v>
      </c>
      <c r="AW753" t="s">
        <v>212</v>
      </c>
      <c r="AZ753" t="s">
        <v>209</v>
      </c>
      <c r="BI753" t="s">
        <v>212</v>
      </c>
      <c r="BJ753" t="s">
        <v>213</v>
      </c>
      <c r="BK753" t="s">
        <v>214</v>
      </c>
      <c r="BL753" t="s">
        <v>357</v>
      </c>
      <c r="BN753" t="s">
        <v>247</v>
      </c>
      <c r="BO753" t="s">
        <v>209</v>
      </c>
      <c r="BP753" t="s">
        <v>241</v>
      </c>
      <c r="BQ753">
        <v>3</v>
      </c>
      <c r="BS753" t="s">
        <v>219</v>
      </c>
      <c r="BT753" t="s">
        <v>220</v>
      </c>
      <c r="BU753" t="s">
        <v>206</v>
      </c>
      <c r="BZ753" t="s">
        <v>503</v>
      </c>
      <c r="CA753" t="s">
        <v>287</v>
      </c>
      <c r="CC753" t="s">
        <v>209</v>
      </c>
      <c r="CE753" t="s">
        <v>242</v>
      </c>
      <c r="CJ753" t="s">
        <v>206</v>
      </c>
      <c r="CK753" t="s">
        <v>230</v>
      </c>
      <c r="CL753" t="s">
        <v>231</v>
      </c>
      <c r="CM753" t="s">
        <v>232</v>
      </c>
      <c r="CN753" t="s">
        <v>233</v>
      </c>
      <c r="CP753" t="s">
        <v>212</v>
      </c>
      <c r="CQ753" t="s">
        <v>212</v>
      </c>
      <c r="CR753" t="s">
        <v>212</v>
      </c>
      <c r="CS753" t="s">
        <v>212</v>
      </c>
      <c r="CY753" t="s">
        <v>212</v>
      </c>
      <c r="DB753" t="s">
        <v>234</v>
      </c>
      <c r="DE753" t="s">
        <v>212</v>
      </c>
      <c r="DF753" t="s">
        <v>212</v>
      </c>
      <c r="DG753" t="s">
        <v>235</v>
      </c>
      <c r="DH753" t="s">
        <v>212</v>
      </c>
      <c r="DJ753" t="s">
        <v>236</v>
      </c>
      <c r="DM753" t="s">
        <v>212</v>
      </c>
    </row>
    <row r="754" spans="1:184" x14ac:dyDescent="0.3">
      <c r="A754">
        <v>24495410</v>
      </c>
      <c r="B754">
        <v>921414</v>
      </c>
      <c r="C754" t="str">
        <f>"140109501262"</f>
        <v>140109501262</v>
      </c>
      <c r="D754" t="s">
        <v>1939</v>
      </c>
      <c r="E754" t="s">
        <v>842</v>
      </c>
      <c r="F754" t="s">
        <v>659</v>
      </c>
      <c r="G754" s="1">
        <v>41648</v>
      </c>
      <c r="I754" t="s">
        <v>240</v>
      </c>
      <c r="J754" t="s">
        <v>200</v>
      </c>
      <c r="K754" t="s">
        <v>260</v>
      </c>
      <c r="Q754" t="s">
        <v>212</v>
      </c>
      <c r="R754" t="str">
        <f>"КАЗАХСТАН, АКМОЛИНСКАЯ, СТЕПНОГОРСК, 85, 35"</f>
        <v>КАЗАХСТАН, АКМОЛИНСКАЯ, СТЕПНОГОРСК, 85, 35</v>
      </c>
      <c r="S754" t="str">
        <f>"ҚАЗАҚСТАН, АҚМОЛА, СТЕПНОГОР, 85, 35"</f>
        <v>ҚАЗАҚСТАН, АҚМОЛА, СТЕПНОГОР, 85, 35</v>
      </c>
      <c r="T754" t="str">
        <f>"85, 35"</f>
        <v>85, 35</v>
      </c>
      <c r="U754" t="str">
        <f>"85, 35"</f>
        <v>85, 35</v>
      </c>
      <c r="AC754" t="str">
        <f>"2023-01-19T00:00:00"</f>
        <v>2023-01-19T00:00:00</v>
      </c>
      <c r="AD754" t="str">
        <f>"10"</f>
        <v>10</v>
      </c>
      <c r="AE754" t="str">
        <f>"2023-09-01T23:41:01"</f>
        <v>2023-09-01T23:41:01</v>
      </c>
      <c r="AF754" t="str">
        <f>"2024-05-25T23:41:01"</f>
        <v>2024-05-25T23:41:01</v>
      </c>
      <c r="AG754" t="s">
        <v>202</v>
      </c>
      <c r="AI754" t="s">
        <v>299</v>
      </c>
      <c r="AJ754" t="s">
        <v>501</v>
      </c>
      <c r="AK754" t="s">
        <v>261</v>
      </c>
      <c r="AL754" t="s">
        <v>206</v>
      </c>
      <c r="AN754" t="s">
        <v>207</v>
      </c>
      <c r="AO754">
        <v>1</v>
      </c>
      <c r="AP754" t="s">
        <v>208</v>
      </c>
      <c r="AQ754" t="s">
        <v>209</v>
      </c>
      <c r="AR754" t="s">
        <v>502</v>
      </c>
      <c r="AW754" t="s">
        <v>212</v>
      </c>
      <c r="AZ754" t="s">
        <v>209</v>
      </c>
      <c r="BI754" t="s">
        <v>212</v>
      </c>
      <c r="BJ754" t="s">
        <v>213</v>
      </c>
      <c r="BK754" t="s">
        <v>214</v>
      </c>
      <c r="BL754" t="s">
        <v>357</v>
      </c>
      <c r="BN754" t="s">
        <v>216</v>
      </c>
      <c r="BO754" t="s">
        <v>209</v>
      </c>
      <c r="BP754" t="s">
        <v>241</v>
      </c>
      <c r="BQ754">
        <v>4</v>
      </c>
      <c r="BS754" t="s">
        <v>219</v>
      </c>
      <c r="BT754" t="s">
        <v>220</v>
      </c>
      <c r="BU754" t="s">
        <v>206</v>
      </c>
      <c r="BZ754" t="s">
        <v>503</v>
      </c>
      <c r="CA754" t="s">
        <v>287</v>
      </c>
      <c r="CC754" t="s">
        <v>209</v>
      </c>
      <c r="CE754" t="s">
        <v>242</v>
      </c>
      <c r="CJ754" t="s">
        <v>206</v>
      </c>
      <c r="CK754" t="s">
        <v>230</v>
      </c>
      <c r="CL754" t="s">
        <v>231</v>
      </c>
      <c r="CM754" t="s">
        <v>232</v>
      </c>
      <c r="CN754" t="s">
        <v>233</v>
      </c>
      <c r="CP754" t="s">
        <v>212</v>
      </c>
      <c r="CQ754" t="s">
        <v>212</v>
      </c>
      <c r="CR754" t="s">
        <v>212</v>
      </c>
      <c r="CS754" t="s">
        <v>212</v>
      </c>
      <c r="CY754" t="s">
        <v>212</v>
      </c>
      <c r="DB754" t="s">
        <v>234</v>
      </c>
      <c r="DE754" t="s">
        <v>212</v>
      </c>
      <c r="DF754" t="s">
        <v>212</v>
      </c>
      <c r="DG754" t="s">
        <v>235</v>
      </c>
      <c r="DH754" t="s">
        <v>212</v>
      </c>
      <c r="DJ754" t="s">
        <v>236</v>
      </c>
      <c r="DM754" t="s">
        <v>212</v>
      </c>
    </row>
    <row r="755" spans="1:184" x14ac:dyDescent="0.3">
      <c r="A755">
        <v>24496216</v>
      </c>
      <c r="B755">
        <v>9806621</v>
      </c>
      <c r="C755" t="str">
        <f>"140621505484"</f>
        <v>140621505484</v>
      </c>
      <c r="D755" t="s">
        <v>1065</v>
      </c>
      <c r="E755" t="s">
        <v>244</v>
      </c>
      <c r="F755" t="s">
        <v>1940</v>
      </c>
      <c r="G755" s="1">
        <v>41811</v>
      </c>
      <c r="I755" t="s">
        <v>240</v>
      </c>
      <c r="J755" t="s">
        <v>200</v>
      </c>
      <c r="K755" t="s">
        <v>201</v>
      </c>
      <c r="R755" t="str">
        <f>"КАЗАХСТАН, КАРАГАНДИНСКАЯ, ШЕТСКИЙ РАЙОН, АКСУ-АЮЛЫ, 69"</f>
        <v>КАЗАХСТАН, КАРАГАНДИНСКАЯ, ШЕТСКИЙ РАЙОН, АКСУ-АЮЛЫ, 69</v>
      </c>
      <c r="S755" t="str">
        <f>"ҚАЗАҚСТАН, ҚАРАҒАНДЫ, ШЕТ АУДАНЫ, АКСУ-АЮЛЫ, 69"</f>
        <v>ҚАЗАҚСТАН, ҚАРАҒАНДЫ, ШЕТ АУДАНЫ, АКСУ-АЮЛЫ, 69</v>
      </c>
      <c r="T755" t="str">
        <f>"АКСУ-АЮЛЫ, 69"</f>
        <v>АКСУ-АЮЛЫ, 69</v>
      </c>
      <c r="U755" t="str">
        <f>"АКСУ-АЮЛЫ, 69"</f>
        <v>АКСУ-АЮЛЫ, 69</v>
      </c>
      <c r="AC755" t="str">
        <f>"2023-01-20T00:00:00"</f>
        <v>2023-01-20T00:00:00</v>
      </c>
      <c r="AD755" t="str">
        <f>"11"</f>
        <v>11</v>
      </c>
      <c r="AG755" t="s">
        <v>202</v>
      </c>
      <c r="AI755" t="s">
        <v>274</v>
      </c>
      <c r="AJ755" t="s">
        <v>540</v>
      </c>
      <c r="AK755" t="s">
        <v>205</v>
      </c>
      <c r="AL755" t="s">
        <v>206</v>
      </c>
      <c r="AN755" t="s">
        <v>207</v>
      </c>
      <c r="AO755">
        <v>2</v>
      </c>
      <c r="AP755" t="s">
        <v>208</v>
      </c>
      <c r="AQ755" t="s">
        <v>209</v>
      </c>
      <c r="AR755" t="s">
        <v>502</v>
      </c>
      <c r="AW755" t="s">
        <v>212</v>
      </c>
      <c r="AZ755" t="s">
        <v>209</v>
      </c>
      <c r="BI755" t="s">
        <v>212</v>
      </c>
      <c r="BJ755" t="s">
        <v>213</v>
      </c>
      <c r="BK755" t="s">
        <v>214</v>
      </c>
      <c r="BL755" t="s">
        <v>357</v>
      </c>
      <c r="BN755" t="s">
        <v>216</v>
      </c>
      <c r="BO755" t="s">
        <v>209</v>
      </c>
      <c r="BP755" t="s">
        <v>241</v>
      </c>
      <c r="BQ755">
        <v>4</v>
      </c>
      <c r="BS755" t="s">
        <v>219</v>
      </c>
      <c r="BT755" t="s">
        <v>220</v>
      </c>
      <c r="BU755" t="s">
        <v>206</v>
      </c>
      <c r="BZ755" t="s">
        <v>541</v>
      </c>
      <c r="CA755" t="s">
        <v>287</v>
      </c>
      <c r="CC755" t="s">
        <v>209</v>
      </c>
      <c r="CE755" t="s">
        <v>242</v>
      </c>
      <c r="CJ755" t="s">
        <v>206</v>
      </c>
      <c r="CK755" t="s">
        <v>230</v>
      </c>
      <c r="CL755" t="s">
        <v>231</v>
      </c>
      <c r="CM755" t="s">
        <v>232</v>
      </c>
      <c r="CN755" t="s">
        <v>233</v>
      </c>
      <c r="CP755" t="s">
        <v>212</v>
      </c>
      <c r="CQ755" t="s">
        <v>212</v>
      </c>
      <c r="CR755" t="s">
        <v>212</v>
      </c>
      <c r="CS755" t="s">
        <v>212</v>
      </c>
      <c r="CY755" t="s">
        <v>212</v>
      </c>
      <c r="DB755" t="s">
        <v>234</v>
      </c>
      <c r="DE755" t="s">
        <v>212</v>
      </c>
      <c r="DF755" t="s">
        <v>212</v>
      </c>
      <c r="DG755" t="s">
        <v>235</v>
      </c>
      <c r="DH755" t="s">
        <v>212</v>
      </c>
      <c r="DJ755" t="s">
        <v>236</v>
      </c>
      <c r="DM755" t="s">
        <v>212</v>
      </c>
    </row>
    <row r="756" spans="1:184" x14ac:dyDescent="0.3">
      <c r="A756">
        <v>24649593</v>
      </c>
      <c r="B756">
        <v>841056</v>
      </c>
      <c r="C756" t="str">
        <f>"161208503314"</f>
        <v>161208503314</v>
      </c>
      <c r="D756" t="s">
        <v>1941</v>
      </c>
      <c r="E756" t="s">
        <v>1942</v>
      </c>
      <c r="F756" t="s">
        <v>1943</v>
      </c>
      <c r="G756" s="1">
        <v>42712</v>
      </c>
      <c r="I756" t="s">
        <v>240</v>
      </c>
      <c r="J756" t="s">
        <v>200</v>
      </c>
      <c r="K756" t="s">
        <v>201</v>
      </c>
      <c r="Q756" t="s">
        <v>212</v>
      </c>
      <c r="R756" t="str">
        <f>"КАЗАХСТАН, АКМОЛИНСКАЯ, СТЕПНОГОРСК, 35, 51"</f>
        <v>КАЗАХСТАН, АКМОЛИНСКАЯ, СТЕПНОГОРСК, 35, 51</v>
      </c>
      <c r="S756" t="str">
        <f>"ҚАЗАҚСТАН, АҚМОЛА, СТЕПНОГОР, 35, 51"</f>
        <v>ҚАЗАҚСТАН, АҚМОЛА, СТЕПНОГОР, 35, 51</v>
      </c>
      <c r="T756" t="str">
        <f>"35, 51"</f>
        <v>35, 51</v>
      </c>
      <c r="U756" t="str">
        <f>"35, 51"</f>
        <v>35, 51</v>
      </c>
      <c r="AC756" t="str">
        <f>"2023-08-25T00:00:00"</f>
        <v>2023-08-25T00:00:00</v>
      </c>
      <c r="AD756" t="str">
        <f>"201"</f>
        <v>201</v>
      </c>
      <c r="AE756" t="str">
        <f>"2023-09-01T13:51:00"</f>
        <v>2023-09-01T13:51:00</v>
      </c>
      <c r="AF756" t="str">
        <f>"2024-05-25T13:51:00"</f>
        <v>2024-05-25T13:51:00</v>
      </c>
      <c r="AG756" t="s">
        <v>202</v>
      </c>
      <c r="AI756" t="s">
        <v>274</v>
      </c>
      <c r="AJ756" t="s">
        <v>660</v>
      </c>
      <c r="AK756" t="s">
        <v>205</v>
      </c>
      <c r="AL756" t="s">
        <v>212</v>
      </c>
      <c r="AN756" t="s">
        <v>207</v>
      </c>
      <c r="AO756">
        <v>1</v>
      </c>
      <c r="AP756" t="s">
        <v>208</v>
      </c>
      <c r="AQ756" t="s">
        <v>209</v>
      </c>
      <c r="AR756" t="s">
        <v>502</v>
      </c>
      <c r="AW756" t="s">
        <v>212</v>
      </c>
      <c r="AZ756" t="s">
        <v>209</v>
      </c>
      <c r="BI756" t="s">
        <v>212</v>
      </c>
      <c r="BJ756" t="s">
        <v>213</v>
      </c>
      <c r="BK756" t="s">
        <v>214</v>
      </c>
      <c r="BL756" t="s">
        <v>357</v>
      </c>
      <c r="BN756" t="s">
        <v>661</v>
      </c>
      <c r="BO756" t="s">
        <v>209</v>
      </c>
      <c r="BS756" t="s">
        <v>220</v>
      </c>
      <c r="BU756" t="s">
        <v>212</v>
      </c>
      <c r="BZ756" t="s">
        <v>662</v>
      </c>
      <c r="CA756" t="s">
        <v>287</v>
      </c>
      <c r="CC756" t="s">
        <v>209</v>
      </c>
      <c r="CE756" t="s">
        <v>242</v>
      </c>
      <c r="CJ756" t="s">
        <v>206</v>
      </c>
      <c r="CK756" t="s">
        <v>230</v>
      </c>
      <c r="CL756" t="s">
        <v>231</v>
      </c>
      <c r="CM756" t="s">
        <v>232</v>
      </c>
      <c r="CN756" t="s">
        <v>233</v>
      </c>
      <c r="CP756" t="s">
        <v>212</v>
      </c>
      <c r="CQ756" t="s">
        <v>212</v>
      </c>
      <c r="CR756" t="s">
        <v>212</v>
      </c>
      <c r="CS756" t="s">
        <v>212</v>
      </c>
      <c r="CY756" t="s">
        <v>212</v>
      </c>
      <c r="DB756" t="s">
        <v>653</v>
      </c>
      <c r="DC756" t="str">
        <f>"№1929 Общее недоразвитие речи 3 уровня."</f>
        <v>№1929 Общее недоразвитие речи 3 уровня.</v>
      </c>
      <c r="DD756" t="str">
        <f>"2023-12-26T00:00:00"</f>
        <v>2023-12-26T00:00:00</v>
      </c>
      <c r="DE756" t="s">
        <v>212</v>
      </c>
      <c r="DF756" t="s">
        <v>206</v>
      </c>
      <c r="DG756" t="s">
        <v>235</v>
      </c>
      <c r="DH756" t="s">
        <v>212</v>
      </c>
      <c r="DJ756" t="s">
        <v>236</v>
      </c>
      <c r="DM756" t="s">
        <v>212</v>
      </c>
    </row>
    <row r="757" spans="1:184" x14ac:dyDescent="0.3">
      <c r="A757">
        <v>24649610</v>
      </c>
      <c r="B757">
        <v>9925675</v>
      </c>
      <c r="C757" t="str">
        <f>"171209500154"</f>
        <v>171209500154</v>
      </c>
      <c r="D757" t="s">
        <v>1440</v>
      </c>
      <c r="E757" t="s">
        <v>1944</v>
      </c>
      <c r="F757" t="s">
        <v>1441</v>
      </c>
      <c r="G757" s="1">
        <v>43078</v>
      </c>
      <c r="I757" t="s">
        <v>240</v>
      </c>
      <c r="J757" t="s">
        <v>200</v>
      </c>
      <c r="K757" t="s">
        <v>201</v>
      </c>
      <c r="Q757" t="s">
        <v>212</v>
      </c>
      <c r="R757" t="str">
        <f>"КАЗАХСТАН, АКМОЛИНСКАЯ, СТЕПНОГОРСК, 67, 25"</f>
        <v>КАЗАХСТАН, АКМОЛИНСКАЯ, СТЕПНОГОРСК, 67, 25</v>
      </c>
      <c r="S757" t="str">
        <f>"ҚАЗАҚСТАН, АҚМОЛА, СТЕПНОГОР, 67, 25"</f>
        <v>ҚАЗАҚСТАН, АҚМОЛА, СТЕПНОГОР, 67, 25</v>
      </c>
      <c r="T757" t="str">
        <f>"67, 25"</f>
        <v>67, 25</v>
      </c>
      <c r="U757" t="str">
        <f>"67, 25"</f>
        <v>67, 25</v>
      </c>
      <c r="AC757" t="str">
        <f>"2023-08-25T00:00:00"</f>
        <v>2023-08-25T00:00:00</v>
      </c>
      <c r="AD757" t="str">
        <f>"202"</f>
        <v>202</v>
      </c>
      <c r="AG757" t="s">
        <v>202</v>
      </c>
      <c r="AI757" t="s">
        <v>274</v>
      </c>
      <c r="AJ757" t="s">
        <v>1298</v>
      </c>
      <c r="AK757" t="s">
        <v>253</v>
      </c>
      <c r="AL757" t="s">
        <v>206</v>
      </c>
      <c r="AN757" t="s">
        <v>254</v>
      </c>
      <c r="AO757">
        <v>2</v>
      </c>
      <c r="AP757" t="s">
        <v>208</v>
      </c>
      <c r="AQ757" t="s">
        <v>209</v>
      </c>
      <c r="AR757" t="s">
        <v>502</v>
      </c>
      <c r="AW757" t="s">
        <v>212</v>
      </c>
      <c r="AZ757" t="s">
        <v>209</v>
      </c>
      <c r="BI757" t="s">
        <v>212</v>
      </c>
      <c r="BJ757" t="s">
        <v>213</v>
      </c>
      <c r="BK757" t="s">
        <v>214</v>
      </c>
      <c r="BL757" t="s">
        <v>215</v>
      </c>
      <c r="BN757" t="s">
        <v>661</v>
      </c>
      <c r="BO757" t="s">
        <v>209</v>
      </c>
      <c r="BS757" t="s">
        <v>220</v>
      </c>
      <c r="CA757" t="s">
        <v>287</v>
      </c>
      <c r="CC757" t="s">
        <v>209</v>
      </c>
      <c r="CE757" t="s">
        <v>242</v>
      </c>
      <c r="CJ757" t="s">
        <v>206</v>
      </c>
      <c r="CK757" t="s">
        <v>230</v>
      </c>
      <c r="CL757" t="s">
        <v>231</v>
      </c>
      <c r="CM757" t="s">
        <v>232</v>
      </c>
      <c r="CN757" t="s">
        <v>233</v>
      </c>
      <c r="CP757" t="s">
        <v>212</v>
      </c>
      <c r="CQ757" t="s">
        <v>212</v>
      </c>
      <c r="CR757" t="s">
        <v>212</v>
      </c>
      <c r="CS757" t="s">
        <v>212</v>
      </c>
      <c r="CY757" t="s">
        <v>212</v>
      </c>
      <c r="DB757" t="s">
        <v>234</v>
      </c>
      <c r="DE757" t="s">
        <v>212</v>
      </c>
      <c r="DF757" t="s">
        <v>212</v>
      </c>
      <c r="DG757" t="s">
        <v>235</v>
      </c>
      <c r="DH757" t="s">
        <v>212</v>
      </c>
      <c r="DJ757" t="s">
        <v>236</v>
      </c>
      <c r="DM757" t="s">
        <v>212</v>
      </c>
    </row>
    <row r="758" spans="1:184" x14ac:dyDescent="0.3">
      <c r="A758">
        <v>24649762</v>
      </c>
      <c r="B758">
        <v>11891947</v>
      </c>
      <c r="C758" t="str">
        <f>"161129502878"</f>
        <v>161129502878</v>
      </c>
      <c r="D758" t="s">
        <v>1054</v>
      </c>
      <c r="E758" t="s">
        <v>1944</v>
      </c>
      <c r="F758" t="s">
        <v>1945</v>
      </c>
      <c r="G758" s="1">
        <v>42703</v>
      </c>
      <c r="I758" t="s">
        <v>240</v>
      </c>
      <c r="J758" t="s">
        <v>200</v>
      </c>
      <c r="K758" t="s">
        <v>201</v>
      </c>
      <c r="Q758" t="s">
        <v>212</v>
      </c>
      <c r="R758" t="str">
        <f>"КАЗАХСТАН, АКМОЛИНСКАЯ, СТЕПНОГОРСК, КЕНТI Аксу, 27, 1"</f>
        <v>КАЗАХСТАН, АКМОЛИНСКАЯ, СТЕПНОГОРСК, КЕНТI Аксу, 27, 1</v>
      </c>
      <c r="S758" t="str">
        <f>"ҚАЗАҚСТАН, АҚМОЛА, СТЕПНОГОР, КЕНТI Аксу, 27, 1"</f>
        <v>ҚАЗАҚСТАН, АҚМОЛА, СТЕПНОГОР, КЕНТI Аксу, 27, 1</v>
      </c>
      <c r="T758" t="str">
        <f>"КЕНТI Аксу, 27, 1"</f>
        <v>КЕНТI Аксу, 27, 1</v>
      </c>
      <c r="U758" t="str">
        <f>"КЕНТI Аксу, 27, 1"</f>
        <v>КЕНТI Аксу, 27, 1</v>
      </c>
      <c r="AC758" t="str">
        <f>"2023-08-25T00:00:00"</f>
        <v>2023-08-25T00:00:00</v>
      </c>
      <c r="AD758" t="str">
        <f>"201"</f>
        <v>201</v>
      </c>
      <c r="AE758" t="str">
        <f>"2023-09-01T17:34:18"</f>
        <v>2023-09-01T17:34:18</v>
      </c>
      <c r="AF758" t="str">
        <f>"2024-05-25T17:34:18"</f>
        <v>2024-05-25T17:34:18</v>
      </c>
      <c r="AG758" t="s">
        <v>202</v>
      </c>
      <c r="AI758" t="s">
        <v>274</v>
      </c>
      <c r="AJ758" t="s">
        <v>660</v>
      </c>
      <c r="AK758" t="s">
        <v>434</v>
      </c>
      <c r="AL758" t="s">
        <v>206</v>
      </c>
      <c r="AN758" t="s">
        <v>254</v>
      </c>
      <c r="AO758">
        <v>1</v>
      </c>
      <c r="AP758" t="s">
        <v>208</v>
      </c>
      <c r="AQ758" t="s">
        <v>209</v>
      </c>
      <c r="AR758" t="s">
        <v>502</v>
      </c>
      <c r="AW758" t="s">
        <v>212</v>
      </c>
      <c r="AZ758" t="s">
        <v>209</v>
      </c>
      <c r="BI758" t="s">
        <v>212</v>
      </c>
      <c r="BJ758" t="s">
        <v>213</v>
      </c>
      <c r="BK758" t="s">
        <v>214</v>
      </c>
      <c r="BL758" t="s">
        <v>357</v>
      </c>
      <c r="BN758" t="s">
        <v>661</v>
      </c>
      <c r="BO758" t="s">
        <v>209</v>
      </c>
      <c r="BS758" t="s">
        <v>220</v>
      </c>
      <c r="BU758" t="s">
        <v>212</v>
      </c>
      <c r="BZ758" t="s">
        <v>662</v>
      </c>
      <c r="CA758" t="s">
        <v>287</v>
      </c>
      <c r="CC758" t="s">
        <v>404</v>
      </c>
      <c r="CD758" t="s">
        <v>223</v>
      </c>
      <c r="CE758" t="s">
        <v>242</v>
      </c>
      <c r="CJ758" t="s">
        <v>206</v>
      </c>
      <c r="CK758" t="s">
        <v>230</v>
      </c>
      <c r="CL758" t="s">
        <v>231</v>
      </c>
      <c r="CM758" t="s">
        <v>232</v>
      </c>
      <c r="CN758" t="s">
        <v>233</v>
      </c>
      <c r="CP758" t="s">
        <v>212</v>
      </c>
      <c r="CQ758" t="s">
        <v>212</v>
      </c>
      <c r="CR758" t="s">
        <v>212</v>
      </c>
      <c r="CS758" t="s">
        <v>212</v>
      </c>
      <c r="CY758" t="s">
        <v>212</v>
      </c>
      <c r="DB758" t="s">
        <v>714</v>
      </c>
      <c r="DC758" t="str">
        <f>"№1916 Задержка психического  развития. Общее недоразвитие речи 2-3 уровня."</f>
        <v>№1916 Задержка психического  развития. Общее недоразвитие речи 2-3 уровня.</v>
      </c>
      <c r="DD758" t="str">
        <f>"2023-12-26T00:00:00"</f>
        <v>2023-12-26T00:00:00</v>
      </c>
      <c r="DE758" t="s">
        <v>212</v>
      </c>
      <c r="DF758" t="s">
        <v>206</v>
      </c>
      <c r="DG758" t="s">
        <v>235</v>
      </c>
      <c r="DH758" t="s">
        <v>212</v>
      </c>
      <c r="DJ758" t="s">
        <v>236</v>
      </c>
      <c r="DM758" t="s">
        <v>212</v>
      </c>
    </row>
    <row r="759" spans="1:184" x14ac:dyDescent="0.3">
      <c r="A759">
        <v>24685134</v>
      </c>
      <c r="B759">
        <v>5257832</v>
      </c>
      <c r="C759" t="str">
        <f>"101222504776"</f>
        <v>101222504776</v>
      </c>
      <c r="D759" t="s">
        <v>1946</v>
      </c>
      <c r="E759" t="s">
        <v>1720</v>
      </c>
      <c r="G759" s="1">
        <v>40534</v>
      </c>
      <c r="I759" t="s">
        <v>240</v>
      </c>
      <c r="J759" t="s">
        <v>200</v>
      </c>
      <c r="K759" t="s">
        <v>260</v>
      </c>
      <c r="Q759" t="s">
        <v>212</v>
      </c>
      <c r="R759" t="str">
        <f>"КАЗАХСТАН, С-КАЗАХСТАНСКАЯ, М.ЖУМАБАЕВА Р-Н, Аққайың, Суворовка, 2"</f>
        <v>КАЗАХСТАН, С-КАЗАХСТАНСКАЯ, М.ЖУМАБАЕВА Р-Н, Аққайың, Суворовка, 2</v>
      </c>
      <c r="S759" t="str">
        <f>"ҚАЗАҚСТАН, СОЛ-ҚАЗАҚСТАН, М.ЖҰМАБАЕВ АУДАНЫ, Аққайың, Суворовка, 2"</f>
        <v>ҚАЗАҚСТАН, СОЛ-ҚАЗАҚСТАН, М.ЖҰМАБАЕВ АУДАНЫ, Аққайың, Суворовка, 2</v>
      </c>
      <c r="T759" t="str">
        <f>"Аққайың, Суворовка, 2"</f>
        <v>Аққайың, Суворовка, 2</v>
      </c>
      <c r="U759" t="str">
        <f>"Аққайың, Суворовка, 2"</f>
        <v>Аққайың, Суворовка, 2</v>
      </c>
      <c r="AC759" t="str">
        <f>"2023-03-31T00:00:00"</f>
        <v>2023-03-31T00:00:00</v>
      </c>
      <c r="AD759" t="str">
        <f>"20/1"</f>
        <v>20/1</v>
      </c>
      <c r="AG759" t="s">
        <v>646</v>
      </c>
      <c r="AI759" t="s">
        <v>269</v>
      </c>
      <c r="AJ759" t="s">
        <v>300</v>
      </c>
      <c r="AK759" t="s">
        <v>246</v>
      </c>
      <c r="AL759" t="s">
        <v>206</v>
      </c>
      <c r="AN759" t="s">
        <v>207</v>
      </c>
      <c r="AO759">
        <v>1</v>
      </c>
      <c r="AP759" t="s">
        <v>208</v>
      </c>
      <c r="AQ759" t="s">
        <v>209</v>
      </c>
      <c r="AR759" t="s">
        <v>210</v>
      </c>
      <c r="AW759" t="s">
        <v>206</v>
      </c>
      <c r="AX759" t="s">
        <v>211</v>
      </c>
      <c r="AZ759" t="s">
        <v>209</v>
      </c>
      <c r="BI759" t="s">
        <v>212</v>
      </c>
      <c r="BJ759" t="s">
        <v>213</v>
      </c>
      <c r="BK759" t="s">
        <v>214</v>
      </c>
      <c r="BL759" t="s">
        <v>215</v>
      </c>
      <c r="BN759" t="s">
        <v>216</v>
      </c>
      <c r="BO759" t="s">
        <v>209</v>
      </c>
      <c r="BP759" t="s">
        <v>241</v>
      </c>
      <c r="BQ759">
        <v>4</v>
      </c>
      <c r="BS759" t="s">
        <v>219</v>
      </c>
      <c r="BT759" t="s">
        <v>220</v>
      </c>
      <c r="BU759" t="s">
        <v>206</v>
      </c>
      <c r="CA759" t="s">
        <v>287</v>
      </c>
      <c r="CC759" t="s">
        <v>1947</v>
      </c>
      <c r="CD759" t="s">
        <v>223</v>
      </c>
      <c r="CE759" t="s">
        <v>242</v>
      </c>
      <c r="CJ759" t="s">
        <v>206</v>
      </c>
      <c r="CK759" t="s">
        <v>230</v>
      </c>
      <c r="CL759" t="s">
        <v>231</v>
      </c>
      <c r="CM759" t="s">
        <v>232</v>
      </c>
      <c r="CN759" t="s">
        <v>233</v>
      </c>
      <c r="CP759" t="s">
        <v>212</v>
      </c>
      <c r="CQ759" t="s">
        <v>212</v>
      </c>
      <c r="CR759" t="s">
        <v>212</v>
      </c>
      <c r="CS759" t="s">
        <v>212</v>
      </c>
      <c r="CY759" t="s">
        <v>212</v>
      </c>
      <c r="DB759" t="s">
        <v>234</v>
      </c>
      <c r="DE759" t="s">
        <v>212</v>
      </c>
      <c r="DF759" t="s">
        <v>212</v>
      </c>
      <c r="DG759" t="s">
        <v>235</v>
      </c>
      <c r="DH759" t="s">
        <v>212</v>
      </c>
      <c r="DI759" t="s">
        <v>1026</v>
      </c>
      <c r="DJ759" t="s">
        <v>421</v>
      </c>
      <c r="DK759" t="s">
        <v>707</v>
      </c>
      <c r="DL759" t="s">
        <v>423</v>
      </c>
      <c r="DM759" t="s">
        <v>212</v>
      </c>
    </row>
    <row r="760" spans="1:184" x14ac:dyDescent="0.3">
      <c r="A760">
        <v>24718347</v>
      </c>
      <c r="B760">
        <v>8925947</v>
      </c>
      <c r="C760" t="str">
        <f>"170320603889"</f>
        <v>170320603889</v>
      </c>
      <c r="D760" t="s">
        <v>708</v>
      </c>
      <c r="E760" t="s">
        <v>789</v>
      </c>
      <c r="F760" t="s">
        <v>406</v>
      </c>
      <c r="G760" s="1">
        <v>42814</v>
      </c>
      <c r="I760" t="s">
        <v>199</v>
      </c>
      <c r="J760" t="s">
        <v>200</v>
      </c>
      <c r="K760" t="s">
        <v>260</v>
      </c>
      <c r="Q760" t="s">
        <v>212</v>
      </c>
      <c r="R760" t="str">
        <f>"КАЗАХСТАН, АКМОЛИНСКАЯ, СТЕПНОГОРСК, -, 14, 731"</f>
        <v>КАЗАХСТАН, АКМОЛИНСКАЯ, СТЕПНОГОРСК, -, 14, 731</v>
      </c>
      <c r="S760" t="str">
        <f>"ҚАЗАҚСТАН, АҚМОЛА, СТЕПНОГОР, -, 14, 731"</f>
        <v>ҚАЗАҚСТАН, АҚМОЛА, СТЕПНОГОР, -, 14, 731</v>
      </c>
      <c r="T760" t="str">
        <f>"-, 14, 731"</f>
        <v>-, 14, 731</v>
      </c>
      <c r="U760" t="str">
        <f>"-, 14, 731"</f>
        <v>-, 14, 731</v>
      </c>
      <c r="AC760" t="str">
        <f>"2023-08-25T00:00:00"</f>
        <v>2023-08-25T00:00:00</v>
      </c>
      <c r="AD760" t="str">
        <f>"201"</f>
        <v>201</v>
      </c>
      <c r="AE760" t="str">
        <f>"2023-09-01T13:53:03"</f>
        <v>2023-09-01T13:53:03</v>
      </c>
      <c r="AF760" t="str">
        <f>"2024-05-25T13:53:03"</f>
        <v>2024-05-25T13:53:03</v>
      </c>
      <c r="AG760" t="s">
        <v>202</v>
      </c>
      <c r="AI760" t="s">
        <v>274</v>
      </c>
      <c r="AJ760" t="s">
        <v>660</v>
      </c>
      <c r="AK760" t="s">
        <v>261</v>
      </c>
      <c r="AL760" t="s">
        <v>212</v>
      </c>
      <c r="AN760" t="s">
        <v>207</v>
      </c>
      <c r="AO760">
        <v>1</v>
      </c>
      <c r="AP760" t="s">
        <v>208</v>
      </c>
      <c r="AQ760" t="s">
        <v>209</v>
      </c>
      <c r="AR760" t="s">
        <v>502</v>
      </c>
      <c r="AW760" t="s">
        <v>212</v>
      </c>
      <c r="AZ760" t="s">
        <v>209</v>
      </c>
      <c r="BI760" t="s">
        <v>212</v>
      </c>
      <c r="BJ760" t="s">
        <v>213</v>
      </c>
      <c r="BK760" t="s">
        <v>214</v>
      </c>
      <c r="BL760" t="s">
        <v>357</v>
      </c>
      <c r="BN760" t="s">
        <v>661</v>
      </c>
      <c r="BO760" t="s">
        <v>209</v>
      </c>
      <c r="BS760" t="s">
        <v>220</v>
      </c>
      <c r="BU760" t="s">
        <v>212</v>
      </c>
      <c r="BZ760" t="s">
        <v>662</v>
      </c>
      <c r="CA760" t="s">
        <v>287</v>
      </c>
      <c r="CC760" t="s">
        <v>209</v>
      </c>
      <c r="CE760" t="s">
        <v>242</v>
      </c>
      <c r="CJ760" t="s">
        <v>206</v>
      </c>
      <c r="CK760" t="s">
        <v>230</v>
      </c>
      <c r="CL760" t="s">
        <v>231</v>
      </c>
      <c r="CM760" t="s">
        <v>232</v>
      </c>
      <c r="CN760" t="s">
        <v>233</v>
      </c>
      <c r="CP760" t="s">
        <v>212</v>
      </c>
      <c r="CQ760" t="s">
        <v>212</v>
      </c>
      <c r="CR760" t="s">
        <v>212</v>
      </c>
      <c r="CS760" t="s">
        <v>212</v>
      </c>
      <c r="CY760" t="s">
        <v>212</v>
      </c>
      <c r="DB760" t="s">
        <v>653</v>
      </c>
      <c r="DC760" t="str">
        <f>"№1923 Общее недоразвитие речи 3 уровня."</f>
        <v>№1923 Общее недоразвитие речи 3 уровня.</v>
      </c>
      <c r="DD760" t="str">
        <f>"2023-12-26T00:00:00"</f>
        <v>2023-12-26T00:00:00</v>
      </c>
      <c r="DE760" t="s">
        <v>212</v>
      </c>
      <c r="DF760" t="s">
        <v>206</v>
      </c>
      <c r="DG760" t="s">
        <v>235</v>
      </c>
      <c r="DH760" t="s">
        <v>206</v>
      </c>
      <c r="DI760" t="s">
        <v>663</v>
      </c>
      <c r="DJ760" t="s">
        <v>664</v>
      </c>
      <c r="DK760" t="s">
        <v>422</v>
      </c>
      <c r="DL760" t="s">
        <v>423</v>
      </c>
      <c r="DM760" t="s">
        <v>206</v>
      </c>
    </row>
    <row r="761" spans="1:184" x14ac:dyDescent="0.3">
      <c r="A761">
        <v>24726316</v>
      </c>
      <c r="B761">
        <v>13087894</v>
      </c>
      <c r="C761" t="str">
        <f>"161017602121"</f>
        <v>161017602121</v>
      </c>
      <c r="D761" t="s">
        <v>1171</v>
      </c>
      <c r="E761" t="s">
        <v>770</v>
      </c>
      <c r="F761" t="s">
        <v>368</v>
      </c>
      <c r="G761" s="1">
        <v>42660</v>
      </c>
      <c r="I761" t="s">
        <v>199</v>
      </c>
      <c r="J761" t="s">
        <v>200</v>
      </c>
      <c r="K761" t="s">
        <v>369</v>
      </c>
      <c r="Q761" t="s">
        <v>212</v>
      </c>
      <c r="R761" t="str">
        <f>"КАЗАХСТАН, АКМОЛИНСКАЯ, СТЕПНОГОРСК, 79, 37"</f>
        <v>КАЗАХСТАН, АКМОЛИНСКАЯ, СТЕПНОГОРСК, 79, 37</v>
      </c>
      <c r="S761" t="str">
        <f>"ҚАЗАҚСТАН, АҚМОЛА, СТЕПНОГОР, 79, 37"</f>
        <v>ҚАЗАҚСТАН, АҚМОЛА, СТЕПНОГОР, 79, 37</v>
      </c>
      <c r="T761" t="str">
        <f>"79, 37"</f>
        <v>79, 37</v>
      </c>
      <c r="U761" t="str">
        <f>"79, 37"</f>
        <v>79, 37</v>
      </c>
      <c r="AC761" t="str">
        <f>"2023-08-25T00:00:00"</f>
        <v>2023-08-25T00:00:00</v>
      </c>
      <c r="AD761" t="str">
        <f>"201"</f>
        <v>201</v>
      </c>
      <c r="AG761" t="s">
        <v>202</v>
      </c>
      <c r="AI761" t="s">
        <v>274</v>
      </c>
      <c r="AJ761" t="s">
        <v>660</v>
      </c>
      <c r="AK761" t="s">
        <v>205</v>
      </c>
      <c r="AL761" t="s">
        <v>206</v>
      </c>
      <c r="AN761" t="s">
        <v>207</v>
      </c>
      <c r="AO761">
        <v>1</v>
      </c>
      <c r="AP761" t="s">
        <v>208</v>
      </c>
      <c r="AQ761" t="s">
        <v>209</v>
      </c>
      <c r="AR761" t="s">
        <v>502</v>
      </c>
      <c r="AW761" t="s">
        <v>212</v>
      </c>
      <c r="AZ761" t="s">
        <v>209</v>
      </c>
      <c r="BI761" t="s">
        <v>212</v>
      </c>
      <c r="BJ761" t="s">
        <v>213</v>
      </c>
      <c r="BK761" t="s">
        <v>214</v>
      </c>
      <c r="BL761" t="s">
        <v>357</v>
      </c>
      <c r="BN761" t="s">
        <v>661</v>
      </c>
      <c r="BO761" t="s">
        <v>209</v>
      </c>
      <c r="BS761" t="s">
        <v>220</v>
      </c>
      <c r="BU761" t="s">
        <v>212</v>
      </c>
      <c r="BX761" t="s">
        <v>234</v>
      </c>
      <c r="BY761" t="s">
        <v>234</v>
      </c>
      <c r="BZ761" t="s">
        <v>662</v>
      </c>
      <c r="CA761" t="s">
        <v>287</v>
      </c>
      <c r="CC761" t="s">
        <v>209</v>
      </c>
      <c r="CE761" t="s">
        <v>242</v>
      </c>
      <c r="CJ761" t="s">
        <v>206</v>
      </c>
      <c r="CK761" t="s">
        <v>230</v>
      </c>
      <c r="CL761" t="s">
        <v>231</v>
      </c>
      <c r="CM761" t="s">
        <v>232</v>
      </c>
      <c r="CN761" t="s">
        <v>233</v>
      </c>
      <c r="CP761" t="s">
        <v>212</v>
      </c>
      <c r="CQ761" t="s">
        <v>212</v>
      </c>
      <c r="CR761" t="s">
        <v>212</v>
      </c>
      <c r="CS761" t="s">
        <v>212</v>
      </c>
      <c r="CY761" t="s">
        <v>212</v>
      </c>
      <c r="DB761" t="s">
        <v>234</v>
      </c>
      <c r="DE761" t="s">
        <v>212</v>
      </c>
      <c r="DF761" t="s">
        <v>212</v>
      </c>
      <c r="DG761" t="s">
        <v>235</v>
      </c>
      <c r="DH761" t="s">
        <v>212</v>
      </c>
      <c r="DJ761" t="s">
        <v>236</v>
      </c>
      <c r="DM761" t="s">
        <v>206</v>
      </c>
      <c r="GB761" t="s">
        <v>206</v>
      </c>
    </row>
    <row r="762" spans="1:184" x14ac:dyDescent="0.3">
      <c r="A762">
        <v>24745768</v>
      </c>
      <c r="B762">
        <v>9614323</v>
      </c>
      <c r="C762" t="str">
        <f>"170118503835"</f>
        <v>170118503835</v>
      </c>
      <c r="D762" t="s">
        <v>1588</v>
      </c>
      <c r="E762" t="s">
        <v>1948</v>
      </c>
      <c r="F762" t="s">
        <v>1589</v>
      </c>
      <c r="G762" s="1">
        <v>42753</v>
      </c>
      <c r="I762" t="s">
        <v>240</v>
      </c>
      <c r="J762" t="s">
        <v>200</v>
      </c>
      <c r="K762" t="s">
        <v>201</v>
      </c>
      <c r="Q762" t="s">
        <v>212</v>
      </c>
      <c r="R762" t="str">
        <f>"КАЗАХСТАН, АКМОЛИНСКАЯ, СТЕПНОГОРСК, 21, 64"</f>
        <v>КАЗАХСТАН, АКМОЛИНСКАЯ, СТЕПНОГОРСК, 21, 64</v>
      </c>
      <c r="S762" t="str">
        <f>"ҚАЗАҚСТАН, АҚМОЛА, СТЕПНОГОР, 21, 64"</f>
        <v>ҚАЗАҚСТАН, АҚМОЛА, СТЕПНОГОР, 21, 64</v>
      </c>
      <c r="T762" t="str">
        <f>"21, 64"</f>
        <v>21, 64</v>
      </c>
      <c r="U762" t="str">
        <f>"21, 64"</f>
        <v>21, 64</v>
      </c>
      <c r="AC762" t="str">
        <f>"2023-08-25T00:00:00"</f>
        <v>2023-08-25T00:00:00</v>
      </c>
      <c r="AD762" t="str">
        <f>"201"</f>
        <v>201</v>
      </c>
      <c r="AE762" t="str">
        <f>"2023-09-01T13:34:14"</f>
        <v>2023-09-01T13:34:14</v>
      </c>
      <c r="AF762" t="str">
        <f>"2024-05-25T13:34:14"</f>
        <v>2024-05-25T13:34:14</v>
      </c>
      <c r="AG762" t="s">
        <v>202</v>
      </c>
      <c r="AI762" t="s">
        <v>299</v>
      </c>
      <c r="AJ762" t="s">
        <v>660</v>
      </c>
      <c r="AK762" t="s">
        <v>205</v>
      </c>
      <c r="AL762" t="s">
        <v>206</v>
      </c>
      <c r="AN762" t="s">
        <v>207</v>
      </c>
      <c r="AO762">
        <v>1</v>
      </c>
      <c r="AP762" t="s">
        <v>208</v>
      </c>
      <c r="AQ762" t="s">
        <v>209</v>
      </c>
      <c r="AR762" t="s">
        <v>502</v>
      </c>
      <c r="AW762" t="s">
        <v>212</v>
      </c>
      <c r="AZ762" t="s">
        <v>209</v>
      </c>
      <c r="BI762" t="s">
        <v>212</v>
      </c>
      <c r="BJ762" t="s">
        <v>213</v>
      </c>
      <c r="BK762" t="s">
        <v>214</v>
      </c>
      <c r="BL762" t="s">
        <v>357</v>
      </c>
      <c r="BN762" t="s">
        <v>661</v>
      </c>
      <c r="BO762" t="s">
        <v>209</v>
      </c>
      <c r="BS762" t="s">
        <v>220</v>
      </c>
      <c r="BU762" t="s">
        <v>212</v>
      </c>
      <c r="BZ762" t="s">
        <v>662</v>
      </c>
      <c r="CA762" t="s">
        <v>287</v>
      </c>
      <c r="CC762" t="s">
        <v>209</v>
      </c>
      <c r="CE762" t="s">
        <v>242</v>
      </c>
      <c r="CJ762" t="s">
        <v>206</v>
      </c>
      <c r="CK762" t="s">
        <v>230</v>
      </c>
      <c r="CL762" t="s">
        <v>231</v>
      </c>
      <c r="CM762" t="s">
        <v>232</v>
      </c>
      <c r="CN762" t="s">
        <v>233</v>
      </c>
      <c r="CP762" t="s">
        <v>212</v>
      </c>
      <c r="CQ762" t="s">
        <v>212</v>
      </c>
      <c r="CR762" t="s">
        <v>212</v>
      </c>
      <c r="CS762" t="s">
        <v>212</v>
      </c>
      <c r="CY762" t="s">
        <v>212</v>
      </c>
      <c r="DB762" t="s">
        <v>653</v>
      </c>
      <c r="DC762" t="str">
        <f>"№511 Общее недоразвитие речи 3 уровня."</f>
        <v>№511 Общее недоразвитие речи 3 уровня.</v>
      </c>
      <c r="DD762" t="str">
        <f>"2023-05-15T00:00:00"</f>
        <v>2023-05-15T00:00:00</v>
      </c>
      <c r="DE762" t="s">
        <v>212</v>
      </c>
      <c r="DF762" t="s">
        <v>206</v>
      </c>
      <c r="DG762" t="s">
        <v>235</v>
      </c>
      <c r="DH762" t="s">
        <v>212</v>
      </c>
      <c r="DJ762" t="s">
        <v>236</v>
      </c>
      <c r="DM762" t="s">
        <v>206</v>
      </c>
      <c r="GB762" t="s">
        <v>206</v>
      </c>
    </row>
    <row r="763" spans="1:184" x14ac:dyDescent="0.3">
      <c r="A763">
        <v>24747218</v>
      </c>
      <c r="B763">
        <v>12684958</v>
      </c>
      <c r="C763" t="str">
        <f>"080426050038"</f>
        <v>080426050038</v>
      </c>
      <c r="D763" t="s">
        <v>1949</v>
      </c>
      <c r="E763" t="s">
        <v>888</v>
      </c>
      <c r="F763" t="s">
        <v>1950</v>
      </c>
      <c r="G763" s="1">
        <v>39564</v>
      </c>
      <c r="I763" t="s">
        <v>240</v>
      </c>
      <c r="J763" t="s">
        <v>757</v>
      </c>
      <c r="K763" t="s">
        <v>201</v>
      </c>
      <c r="L763" t="s">
        <v>212</v>
      </c>
      <c r="Q763" t="s">
        <v>206</v>
      </c>
      <c r="R763" t="str">
        <f>"-"</f>
        <v>-</v>
      </c>
      <c r="S763" t="str">
        <f>"-"</f>
        <v>-</v>
      </c>
      <c r="T763" t="str">
        <f>"-"</f>
        <v>-</v>
      </c>
      <c r="U763" t="str">
        <f>"-"</f>
        <v>-</v>
      </c>
      <c r="AC763" t="str">
        <f>"2023-04-17T00:00:00"</f>
        <v>2023-04-17T00:00:00</v>
      </c>
      <c r="AD763" t="str">
        <f>"22"</f>
        <v>22</v>
      </c>
      <c r="AG763" t="s">
        <v>646</v>
      </c>
      <c r="AH763" t="str">
        <f>"dmahanbetov7@gmail.com"</f>
        <v>dmahanbetov7@gmail.com</v>
      </c>
      <c r="AI763" t="s">
        <v>269</v>
      </c>
      <c r="AJ763" t="s">
        <v>204</v>
      </c>
      <c r="AK763" t="s">
        <v>253</v>
      </c>
      <c r="AL763" t="s">
        <v>206</v>
      </c>
      <c r="AN763" t="s">
        <v>254</v>
      </c>
      <c r="AO763">
        <v>1</v>
      </c>
      <c r="AP763" t="s">
        <v>208</v>
      </c>
      <c r="AQ763" t="s">
        <v>209</v>
      </c>
      <c r="AR763" t="s">
        <v>210</v>
      </c>
      <c r="AW763" t="s">
        <v>206</v>
      </c>
      <c r="AX763" t="s">
        <v>211</v>
      </c>
      <c r="AZ763" t="s">
        <v>209</v>
      </c>
      <c r="BI763" t="s">
        <v>212</v>
      </c>
      <c r="BJ763" t="s">
        <v>213</v>
      </c>
      <c r="BK763" t="s">
        <v>214</v>
      </c>
      <c r="BL763" t="s">
        <v>215</v>
      </c>
      <c r="BN763" t="s">
        <v>216</v>
      </c>
      <c r="BO763" t="s">
        <v>209</v>
      </c>
      <c r="BP763" t="s">
        <v>241</v>
      </c>
      <c r="BQ763">
        <v>4</v>
      </c>
      <c r="BS763" t="s">
        <v>219</v>
      </c>
      <c r="BT763" t="s">
        <v>220</v>
      </c>
      <c r="BU763" t="s">
        <v>206</v>
      </c>
      <c r="CA763" t="s">
        <v>287</v>
      </c>
      <c r="CC763" t="s">
        <v>209</v>
      </c>
      <c r="CE763" t="s">
        <v>242</v>
      </c>
      <c r="CJ763" t="s">
        <v>206</v>
      </c>
      <c r="CK763" t="s">
        <v>230</v>
      </c>
      <c r="CL763" t="s">
        <v>231</v>
      </c>
      <c r="CM763" t="s">
        <v>232</v>
      </c>
      <c r="CN763" t="s">
        <v>233</v>
      </c>
      <c r="CP763" t="s">
        <v>212</v>
      </c>
      <c r="CQ763" t="s">
        <v>212</v>
      </c>
      <c r="CR763" t="s">
        <v>212</v>
      </c>
      <c r="CS763" t="s">
        <v>212</v>
      </c>
      <c r="CY763" t="s">
        <v>212</v>
      </c>
      <c r="DB763" t="s">
        <v>234</v>
      </c>
      <c r="DE763" t="s">
        <v>212</v>
      </c>
      <c r="DF763" t="s">
        <v>212</v>
      </c>
      <c r="DG763" t="s">
        <v>235</v>
      </c>
      <c r="DH763" t="s">
        <v>212</v>
      </c>
      <c r="DJ763" t="s">
        <v>236</v>
      </c>
      <c r="DM763" t="s">
        <v>212</v>
      </c>
    </row>
    <row r="764" spans="1:184" x14ac:dyDescent="0.3">
      <c r="A764">
        <v>24763787</v>
      </c>
      <c r="B764">
        <v>10846116</v>
      </c>
      <c r="C764" t="str">
        <f>"170604602845"</f>
        <v>170604602845</v>
      </c>
      <c r="D764" t="s">
        <v>1951</v>
      </c>
      <c r="E764" t="s">
        <v>781</v>
      </c>
      <c r="F764" t="s">
        <v>1952</v>
      </c>
      <c r="G764" s="1">
        <v>42890</v>
      </c>
      <c r="I764" t="s">
        <v>199</v>
      </c>
      <c r="J764" t="s">
        <v>200</v>
      </c>
      <c r="K764" t="s">
        <v>201</v>
      </c>
      <c r="Q764" t="s">
        <v>212</v>
      </c>
      <c r="R764" t="str">
        <f>"КАЗАХСТАН, АКМОЛИНСКАЯ, СТЕПНОГОРСК, Бестобе, 6"</f>
        <v>КАЗАХСТАН, АКМОЛИНСКАЯ, СТЕПНОГОРСК, Бестобе, 6</v>
      </c>
      <c r="S764" t="str">
        <f>"ҚАЗАҚСТАН, АҚМОЛА, СТЕПНОГОР, Бестобе, 6"</f>
        <v>ҚАЗАҚСТАН, АҚМОЛА, СТЕПНОГОР, Бестобе, 6</v>
      </c>
      <c r="T764" t="str">
        <f>"Бестобе, 6"</f>
        <v>Бестобе, 6</v>
      </c>
      <c r="U764" t="str">
        <f>"Бестобе, 6"</f>
        <v>Бестобе, 6</v>
      </c>
      <c r="AC764" t="str">
        <f>"2023-08-25T00:00:00"</f>
        <v>2023-08-25T00:00:00</v>
      </c>
      <c r="AD764" t="str">
        <f t="shared" ref="AD764:AD774" si="38">"201"</f>
        <v>201</v>
      </c>
      <c r="AG764" t="s">
        <v>202</v>
      </c>
      <c r="AI764" t="s">
        <v>299</v>
      </c>
      <c r="AJ764" t="s">
        <v>660</v>
      </c>
      <c r="AK764" t="s">
        <v>434</v>
      </c>
      <c r="AL764" t="s">
        <v>206</v>
      </c>
      <c r="AN764" t="s">
        <v>254</v>
      </c>
      <c r="AO764">
        <v>1</v>
      </c>
      <c r="AP764" t="s">
        <v>208</v>
      </c>
      <c r="AQ764" t="s">
        <v>209</v>
      </c>
      <c r="AR764" t="s">
        <v>502</v>
      </c>
      <c r="AW764" t="s">
        <v>212</v>
      </c>
      <c r="AZ764" t="s">
        <v>209</v>
      </c>
      <c r="BI764" t="s">
        <v>212</v>
      </c>
      <c r="BJ764" t="s">
        <v>213</v>
      </c>
      <c r="BK764" t="s">
        <v>214</v>
      </c>
      <c r="BL764" t="s">
        <v>357</v>
      </c>
      <c r="BN764" t="s">
        <v>661</v>
      </c>
      <c r="BO764" t="s">
        <v>209</v>
      </c>
      <c r="BS764" t="s">
        <v>220</v>
      </c>
      <c r="BU764" t="s">
        <v>212</v>
      </c>
      <c r="BZ764" t="s">
        <v>662</v>
      </c>
      <c r="CA764" t="s">
        <v>287</v>
      </c>
      <c r="CC764" t="s">
        <v>209</v>
      </c>
      <c r="CE764" t="s">
        <v>242</v>
      </c>
      <c r="CJ764" t="s">
        <v>206</v>
      </c>
      <c r="CK764" t="s">
        <v>230</v>
      </c>
      <c r="CL764" t="s">
        <v>231</v>
      </c>
      <c r="CM764" t="s">
        <v>232</v>
      </c>
      <c r="CN764" t="s">
        <v>233</v>
      </c>
      <c r="CP764" t="s">
        <v>212</v>
      </c>
      <c r="CQ764" t="s">
        <v>212</v>
      </c>
      <c r="CR764" t="s">
        <v>212</v>
      </c>
      <c r="CS764" t="s">
        <v>212</v>
      </c>
      <c r="CY764" t="s">
        <v>212</v>
      </c>
      <c r="DB764" t="s">
        <v>234</v>
      </c>
      <c r="DE764" t="s">
        <v>212</v>
      </c>
      <c r="DF764" t="s">
        <v>212</v>
      </c>
      <c r="DG764" t="s">
        <v>235</v>
      </c>
      <c r="DH764" t="s">
        <v>212</v>
      </c>
      <c r="DJ764" t="s">
        <v>236</v>
      </c>
      <c r="DM764" t="s">
        <v>212</v>
      </c>
      <c r="GB764" t="s">
        <v>206</v>
      </c>
    </row>
    <row r="765" spans="1:184" x14ac:dyDescent="0.3">
      <c r="A765">
        <v>24778028</v>
      </c>
      <c r="B765">
        <v>863334</v>
      </c>
      <c r="C765" t="str">
        <f>"160906602815"</f>
        <v>160906602815</v>
      </c>
      <c r="D765" t="s">
        <v>1063</v>
      </c>
      <c r="E765" t="s">
        <v>1521</v>
      </c>
      <c r="F765" t="s">
        <v>400</v>
      </c>
      <c r="G765" s="1">
        <v>42619</v>
      </c>
      <c r="I765" t="s">
        <v>199</v>
      </c>
      <c r="J765" t="s">
        <v>200</v>
      </c>
      <c r="K765" t="s">
        <v>260</v>
      </c>
      <c r="Q765" t="s">
        <v>212</v>
      </c>
      <c r="R765" t="str">
        <f>"КАЗАХСТАН, АКМОЛИНСКАЯ, СТЕПНОГОРСК, 40, 46"</f>
        <v>КАЗАХСТАН, АКМОЛИНСКАЯ, СТЕПНОГОРСК, 40, 46</v>
      </c>
      <c r="S765" t="str">
        <f>"ҚАЗАҚСТАН, АҚМОЛА, СТЕПНОГОР, 40, 46"</f>
        <v>ҚАЗАҚСТАН, АҚМОЛА, СТЕПНОГОР, 40, 46</v>
      </c>
      <c r="T765" t="str">
        <f>"40, 46"</f>
        <v>40, 46</v>
      </c>
      <c r="U765" t="str">
        <f>"40, 46"</f>
        <v>40, 46</v>
      </c>
      <c r="AC765" t="str">
        <f>"2023-08-25T00:00:00"</f>
        <v>2023-08-25T00:00:00</v>
      </c>
      <c r="AD765" t="str">
        <f t="shared" si="38"/>
        <v>201</v>
      </c>
      <c r="AE765" t="str">
        <f>"2023-09-01T17:37:35"</f>
        <v>2023-09-01T17:37:35</v>
      </c>
      <c r="AF765" t="str">
        <f>"2024-05-25T17:37:35"</f>
        <v>2024-05-25T17:37:35</v>
      </c>
      <c r="AG765" t="s">
        <v>202</v>
      </c>
      <c r="AI765" t="s">
        <v>299</v>
      </c>
      <c r="AJ765" t="s">
        <v>660</v>
      </c>
      <c r="AK765" t="s">
        <v>205</v>
      </c>
      <c r="AL765" t="s">
        <v>206</v>
      </c>
      <c r="AN765" t="s">
        <v>207</v>
      </c>
      <c r="AO765">
        <v>1</v>
      </c>
      <c r="AP765" t="s">
        <v>208</v>
      </c>
      <c r="AQ765" t="s">
        <v>209</v>
      </c>
      <c r="AR765" t="s">
        <v>502</v>
      </c>
      <c r="AW765" t="s">
        <v>212</v>
      </c>
      <c r="AZ765" t="s">
        <v>209</v>
      </c>
      <c r="BI765" t="s">
        <v>212</v>
      </c>
      <c r="BJ765" t="s">
        <v>213</v>
      </c>
      <c r="BK765" t="s">
        <v>214</v>
      </c>
      <c r="BL765" t="s">
        <v>357</v>
      </c>
      <c r="BN765" t="s">
        <v>661</v>
      </c>
      <c r="BO765" t="s">
        <v>209</v>
      </c>
      <c r="BS765" t="s">
        <v>220</v>
      </c>
      <c r="BU765" t="s">
        <v>212</v>
      </c>
      <c r="BZ765" t="s">
        <v>662</v>
      </c>
      <c r="CA765" t="s">
        <v>287</v>
      </c>
      <c r="CC765" t="s">
        <v>222</v>
      </c>
      <c r="CD765" t="s">
        <v>349</v>
      </c>
      <c r="CE765" t="s">
        <v>242</v>
      </c>
      <c r="CJ765" t="s">
        <v>206</v>
      </c>
      <c r="CK765" t="s">
        <v>230</v>
      </c>
      <c r="CL765" t="s">
        <v>231</v>
      </c>
      <c r="CM765" t="s">
        <v>232</v>
      </c>
      <c r="CN765" t="s">
        <v>233</v>
      </c>
      <c r="CP765" t="s">
        <v>212</v>
      </c>
      <c r="CQ765" t="s">
        <v>212</v>
      </c>
      <c r="CR765" t="s">
        <v>212</v>
      </c>
      <c r="CS765" t="s">
        <v>212</v>
      </c>
      <c r="CY765" t="s">
        <v>212</v>
      </c>
      <c r="DB765" t="s">
        <v>234</v>
      </c>
      <c r="DE765" t="s">
        <v>212</v>
      </c>
      <c r="DF765" t="s">
        <v>212</v>
      </c>
      <c r="DG765" t="s">
        <v>235</v>
      </c>
      <c r="DH765" t="s">
        <v>212</v>
      </c>
      <c r="DJ765" t="s">
        <v>236</v>
      </c>
      <c r="DM765" t="s">
        <v>212</v>
      </c>
      <c r="GB765" t="s">
        <v>206</v>
      </c>
    </row>
    <row r="766" spans="1:184" x14ac:dyDescent="0.3">
      <c r="A766">
        <v>24787960</v>
      </c>
      <c r="B766">
        <v>8872032</v>
      </c>
      <c r="C766" t="str">
        <f>"161228602139"</f>
        <v>161228602139</v>
      </c>
      <c r="D766" t="s">
        <v>1953</v>
      </c>
      <c r="E766" t="s">
        <v>1057</v>
      </c>
      <c r="F766" t="s">
        <v>1954</v>
      </c>
      <c r="G766" s="1">
        <v>42732</v>
      </c>
      <c r="I766" t="s">
        <v>199</v>
      </c>
      <c r="J766" t="s">
        <v>200</v>
      </c>
      <c r="K766" t="s">
        <v>201</v>
      </c>
      <c r="Q766" t="s">
        <v>212</v>
      </c>
      <c r="R766" t="str">
        <f>"КАЗАХСТАН, АКМОЛИНСКАЯ, СТЕПНОГОРСК, 31, 19"</f>
        <v>КАЗАХСТАН, АКМОЛИНСКАЯ, СТЕПНОГОРСК, 31, 19</v>
      </c>
      <c r="S766" t="str">
        <f>"ҚАЗАҚСТАН, АҚМОЛА, СТЕПНОГОР, 31, 19"</f>
        <v>ҚАЗАҚСТАН, АҚМОЛА, СТЕПНОГОР, 31, 19</v>
      </c>
      <c r="T766" t="str">
        <f>"31, 19"</f>
        <v>31, 19</v>
      </c>
      <c r="U766" t="str">
        <f>"31, 19"</f>
        <v>31, 19</v>
      </c>
      <c r="AC766" t="str">
        <f>"2023-08-31T00:00:00"</f>
        <v>2023-08-31T00:00:00</v>
      </c>
      <c r="AD766" t="str">
        <f t="shared" si="38"/>
        <v>201</v>
      </c>
      <c r="AE766" t="str">
        <f>"2023-09-01T17:30:34"</f>
        <v>2023-09-01T17:30:34</v>
      </c>
      <c r="AF766" t="str">
        <f>"2024-05-25T17:30:34"</f>
        <v>2024-05-25T17:30:34</v>
      </c>
      <c r="AG766" t="s">
        <v>202</v>
      </c>
      <c r="AI766" t="s">
        <v>269</v>
      </c>
      <c r="AJ766" t="s">
        <v>660</v>
      </c>
      <c r="AK766" t="s">
        <v>434</v>
      </c>
      <c r="AL766" t="s">
        <v>206</v>
      </c>
      <c r="AN766" t="s">
        <v>254</v>
      </c>
      <c r="AO766">
        <v>1</v>
      </c>
      <c r="AP766" t="s">
        <v>208</v>
      </c>
      <c r="AQ766" t="s">
        <v>209</v>
      </c>
      <c r="AR766" t="s">
        <v>502</v>
      </c>
      <c r="AW766" t="s">
        <v>212</v>
      </c>
      <c r="AZ766" t="s">
        <v>209</v>
      </c>
      <c r="BI766" t="s">
        <v>212</v>
      </c>
      <c r="BJ766" t="s">
        <v>213</v>
      </c>
      <c r="BK766" t="s">
        <v>214</v>
      </c>
      <c r="BL766" t="s">
        <v>357</v>
      </c>
      <c r="BN766" t="s">
        <v>661</v>
      </c>
      <c r="BO766" t="s">
        <v>209</v>
      </c>
      <c r="BS766" t="s">
        <v>220</v>
      </c>
      <c r="BU766" t="s">
        <v>212</v>
      </c>
      <c r="BZ766" t="s">
        <v>662</v>
      </c>
      <c r="CA766" t="s">
        <v>287</v>
      </c>
      <c r="CC766" t="s">
        <v>222</v>
      </c>
      <c r="CD766" t="s">
        <v>349</v>
      </c>
      <c r="CE766" t="s">
        <v>242</v>
      </c>
      <c r="CJ766" t="s">
        <v>206</v>
      </c>
      <c r="CK766" t="s">
        <v>230</v>
      </c>
      <c r="CL766" t="s">
        <v>231</v>
      </c>
      <c r="CM766" t="s">
        <v>232</v>
      </c>
      <c r="CN766" t="s">
        <v>233</v>
      </c>
      <c r="CP766" t="s">
        <v>212</v>
      </c>
      <c r="CQ766" t="s">
        <v>212</v>
      </c>
      <c r="CR766" t="s">
        <v>212</v>
      </c>
      <c r="CS766" t="s">
        <v>212</v>
      </c>
      <c r="CY766" t="s">
        <v>212</v>
      </c>
      <c r="DB766" t="s">
        <v>234</v>
      </c>
      <c r="DE766" t="s">
        <v>212</v>
      </c>
      <c r="DF766" t="s">
        <v>212</v>
      </c>
      <c r="DG766" t="s">
        <v>235</v>
      </c>
      <c r="DH766" t="s">
        <v>212</v>
      </c>
      <c r="DJ766" t="s">
        <v>236</v>
      </c>
      <c r="DM766" t="s">
        <v>212</v>
      </c>
      <c r="GB766" t="s">
        <v>206</v>
      </c>
    </row>
    <row r="767" spans="1:184" x14ac:dyDescent="0.3">
      <c r="A767">
        <v>24795755</v>
      </c>
      <c r="B767">
        <v>8860307</v>
      </c>
      <c r="C767" t="str">
        <f>"170404500726"</f>
        <v>170404500726</v>
      </c>
      <c r="D767" t="s">
        <v>1213</v>
      </c>
      <c r="E767" t="s">
        <v>1296</v>
      </c>
      <c r="F767" t="s">
        <v>1955</v>
      </c>
      <c r="G767" s="1">
        <v>42829</v>
      </c>
      <c r="I767" t="s">
        <v>240</v>
      </c>
      <c r="J767" t="s">
        <v>200</v>
      </c>
      <c r="K767" t="s">
        <v>201</v>
      </c>
      <c r="Q767" t="s">
        <v>212</v>
      </c>
      <c r="R767" t="str">
        <f>"КАЗАХСТАН, АКМОЛИНСКАЯ, СТЕПНОГОРСК, -, 14, 502"</f>
        <v>КАЗАХСТАН, АКМОЛИНСКАЯ, СТЕПНОГОРСК, -, 14, 502</v>
      </c>
      <c r="S767" t="str">
        <f>"ҚАЗАҚСТАН, АҚМОЛА, СТЕПНОГОР, -, 14, 502"</f>
        <v>ҚАЗАҚСТАН, АҚМОЛА, СТЕПНОГОР, -, 14, 502</v>
      </c>
      <c r="T767" t="str">
        <f>"-, 14, 502"</f>
        <v>-, 14, 502</v>
      </c>
      <c r="U767" t="str">
        <f>"-, 14, 502"</f>
        <v>-, 14, 502</v>
      </c>
      <c r="AC767" t="str">
        <f>"2023-08-25T00:00:00"</f>
        <v>2023-08-25T00:00:00</v>
      </c>
      <c r="AD767" t="str">
        <f t="shared" si="38"/>
        <v>201</v>
      </c>
      <c r="AG767" t="s">
        <v>202</v>
      </c>
      <c r="AI767" t="s">
        <v>274</v>
      </c>
      <c r="AJ767" t="s">
        <v>660</v>
      </c>
      <c r="AK767" t="s">
        <v>253</v>
      </c>
      <c r="AL767" t="s">
        <v>206</v>
      </c>
      <c r="AN767" t="s">
        <v>254</v>
      </c>
      <c r="AO767">
        <v>1</v>
      </c>
      <c r="AP767" t="s">
        <v>208</v>
      </c>
      <c r="AQ767" t="s">
        <v>209</v>
      </c>
      <c r="AR767" t="s">
        <v>502</v>
      </c>
      <c r="AW767" t="s">
        <v>212</v>
      </c>
      <c r="AZ767" t="s">
        <v>209</v>
      </c>
      <c r="BI767" t="s">
        <v>212</v>
      </c>
      <c r="BJ767" t="s">
        <v>213</v>
      </c>
      <c r="BK767" t="s">
        <v>214</v>
      </c>
      <c r="BL767" t="s">
        <v>357</v>
      </c>
      <c r="BN767" t="s">
        <v>661</v>
      </c>
      <c r="BO767" t="s">
        <v>209</v>
      </c>
      <c r="BS767" t="s">
        <v>220</v>
      </c>
      <c r="BU767" t="s">
        <v>212</v>
      </c>
      <c r="BZ767" t="s">
        <v>662</v>
      </c>
      <c r="CA767" t="s">
        <v>287</v>
      </c>
      <c r="CC767" t="s">
        <v>209</v>
      </c>
      <c r="CE767" t="s">
        <v>242</v>
      </c>
      <c r="CJ767" t="s">
        <v>206</v>
      </c>
      <c r="CK767" t="s">
        <v>230</v>
      </c>
      <c r="CL767" t="s">
        <v>231</v>
      </c>
      <c r="CM767" t="s">
        <v>232</v>
      </c>
      <c r="CN767" t="s">
        <v>233</v>
      </c>
      <c r="CP767" t="s">
        <v>212</v>
      </c>
      <c r="CQ767" t="s">
        <v>212</v>
      </c>
      <c r="CR767" t="s">
        <v>212</v>
      </c>
      <c r="CS767" t="s">
        <v>212</v>
      </c>
      <c r="CY767" t="s">
        <v>212</v>
      </c>
      <c r="DB767" t="s">
        <v>234</v>
      </c>
      <c r="DE767" t="s">
        <v>212</v>
      </c>
      <c r="DF767" t="s">
        <v>212</v>
      </c>
      <c r="DG767" t="s">
        <v>235</v>
      </c>
      <c r="DH767" t="s">
        <v>212</v>
      </c>
      <c r="DJ767" t="s">
        <v>236</v>
      </c>
      <c r="DM767" t="s">
        <v>212</v>
      </c>
      <c r="GB767" t="s">
        <v>206</v>
      </c>
    </row>
    <row r="768" spans="1:184" x14ac:dyDescent="0.3">
      <c r="A768">
        <v>24804759</v>
      </c>
      <c r="B768">
        <v>11107533</v>
      </c>
      <c r="C768" t="str">
        <f>"160831505390"</f>
        <v>160831505390</v>
      </c>
      <c r="D768" t="s">
        <v>1956</v>
      </c>
      <c r="E768" t="s">
        <v>1328</v>
      </c>
      <c r="F768" t="s">
        <v>411</v>
      </c>
      <c r="G768" s="1">
        <v>42613</v>
      </c>
      <c r="I768" t="s">
        <v>240</v>
      </c>
      <c r="J768" t="s">
        <v>200</v>
      </c>
      <c r="K768" t="s">
        <v>260</v>
      </c>
      <c r="Q768" t="s">
        <v>212</v>
      </c>
      <c r="R768" t="str">
        <f>"КАЗАХСТАН, АКМОЛИНСКАЯ, СТЕПНОГОРСК, 80, 58"</f>
        <v>КАЗАХСТАН, АКМОЛИНСКАЯ, СТЕПНОГОРСК, 80, 58</v>
      </c>
      <c r="S768" t="str">
        <f>"ҚАЗАҚСТАН, АҚМОЛА, СТЕПНОГОР, 80, 58"</f>
        <v>ҚАЗАҚСТАН, АҚМОЛА, СТЕПНОГОР, 80, 58</v>
      </c>
      <c r="T768" t="str">
        <f>"80, 58"</f>
        <v>80, 58</v>
      </c>
      <c r="U768" t="str">
        <f>"80, 58"</f>
        <v>80, 58</v>
      </c>
      <c r="AC768" t="str">
        <f>"2023-08-25T00:00:00"</f>
        <v>2023-08-25T00:00:00</v>
      </c>
      <c r="AD768" t="str">
        <f t="shared" si="38"/>
        <v>201</v>
      </c>
      <c r="AE768" t="str">
        <f>"2023-09-01T13:28:01"</f>
        <v>2023-09-01T13:28:01</v>
      </c>
      <c r="AF768" t="str">
        <f>"2024-05-25T13:28:01"</f>
        <v>2024-05-25T13:28:01</v>
      </c>
      <c r="AG768" t="s">
        <v>333</v>
      </c>
      <c r="AI768" t="s">
        <v>299</v>
      </c>
      <c r="AJ768" t="s">
        <v>660</v>
      </c>
      <c r="AK768" t="s">
        <v>246</v>
      </c>
      <c r="AL768" t="s">
        <v>206</v>
      </c>
      <c r="AN768" t="s">
        <v>207</v>
      </c>
      <c r="AO768">
        <v>1</v>
      </c>
      <c r="AP768" t="s">
        <v>208</v>
      </c>
      <c r="AQ768" t="s">
        <v>209</v>
      </c>
      <c r="AR768" t="s">
        <v>502</v>
      </c>
      <c r="AW768" t="s">
        <v>212</v>
      </c>
      <c r="AZ768" t="s">
        <v>209</v>
      </c>
      <c r="BI768" t="s">
        <v>212</v>
      </c>
      <c r="BJ768" t="s">
        <v>213</v>
      </c>
      <c r="BK768" t="s">
        <v>214</v>
      </c>
      <c r="BL768" t="s">
        <v>357</v>
      </c>
      <c r="BN768" t="s">
        <v>661</v>
      </c>
      <c r="BO768" t="s">
        <v>209</v>
      </c>
      <c r="BS768" t="s">
        <v>220</v>
      </c>
      <c r="BU768" t="s">
        <v>212</v>
      </c>
      <c r="BX768" t="s">
        <v>221</v>
      </c>
      <c r="BY768" t="s">
        <v>221</v>
      </c>
      <c r="BZ768" t="s">
        <v>662</v>
      </c>
      <c r="CA768" t="s">
        <v>287</v>
      </c>
      <c r="CC768" t="s">
        <v>209</v>
      </c>
      <c r="CE768" t="s">
        <v>242</v>
      </c>
      <c r="CJ768" t="s">
        <v>206</v>
      </c>
      <c r="CK768" t="s">
        <v>230</v>
      </c>
      <c r="CL768" t="s">
        <v>231</v>
      </c>
      <c r="CM768" t="s">
        <v>232</v>
      </c>
      <c r="CN768" t="s">
        <v>233</v>
      </c>
      <c r="CP768" t="s">
        <v>212</v>
      </c>
      <c r="CQ768" t="s">
        <v>212</v>
      </c>
      <c r="CR768" t="s">
        <v>212</v>
      </c>
      <c r="CS768" t="s">
        <v>212</v>
      </c>
      <c r="CY768" t="s">
        <v>212</v>
      </c>
      <c r="DB768" t="s">
        <v>653</v>
      </c>
      <c r="DC768" t="str">
        <f>"№1919 Общее недоразвитие речи 3 уровня."</f>
        <v>№1919 Общее недоразвитие речи 3 уровня.</v>
      </c>
      <c r="DD768" t="str">
        <f>"2023-12-26T00:00:00"</f>
        <v>2023-12-26T00:00:00</v>
      </c>
      <c r="DE768" t="s">
        <v>212</v>
      </c>
      <c r="DF768" t="s">
        <v>206</v>
      </c>
      <c r="DG768" t="s">
        <v>235</v>
      </c>
      <c r="DH768" t="s">
        <v>212</v>
      </c>
      <c r="DJ768" t="s">
        <v>236</v>
      </c>
      <c r="DM768" t="s">
        <v>212</v>
      </c>
    </row>
    <row r="769" spans="1:184" x14ac:dyDescent="0.3">
      <c r="A769">
        <v>24808123</v>
      </c>
      <c r="B769">
        <v>11356115</v>
      </c>
      <c r="C769" t="str">
        <f>"170319504599"</f>
        <v>170319504599</v>
      </c>
      <c r="D769" t="s">
        <v>1957</v>
      </c>
      <c r="E769" t="s">
        <v>1761</v>
      </c>
      <c r="F769" t="s">
        <v>1958</v>
      </c>
      <c r="G769" s="1">
        <v>42813</v>
      </c>
      <c r="I769" t="s">
        <v>240</v>
      </c>
      <c r="J769" t="s">
        <v>200</v>
      </c>
      <c r="K769" t="s">
        <v>201</v>
      </c>
      <c r="Q769" t="s">
        <v>212</v>
      </c>
      <c r="R769" t="str">
        <f>"КАЗАХСТАН, АКМОЛИНСКАЯ, СТЕПНОГОРСК, 87, 60"</f>
        <v>КАЗАХСТАН, АКМОЛИНСКАЯ, СТЕПНОГОРСК, 87, 60</v>
      </c>
      <c r="S769" t="str">
        <f>"ҚАЗАҚСТАН, АҚМОЛА, СТЕПНОГОР, 87, 60"</f>
        <v>ҚАЗАҚСТАН, АҚМОЛА, СТЕПНОГОР, 87, 60</v>
      </c>
      <c r="T769" t="str">
        <f>"87, 60"</f>
        <v>87, 60</v>
      </c>
      <c r="U769" t="str">
        <f>"87, 60"</f>
        <v>87, 60</v>
      </c>
      <c r="AC769" t="str">
        <f>"2023-08-28T00:00:00"</f>
        <v>2023-08-28T00:00:00</v>
      </c>
      <c r="AD769" t="str">
        <f t="shared" si="38"/>
        <v>201</v>
      </c>
      <c r="AG769" t="s">
        <v>202</v>
      </c>
      <c r="AI769" t="s">
        <v>299</v>
      </c>
      <c r="AJ769" t="s">
        <v>660</v>
      </c>
      <c r="AK769" t="s">
        <v>434</v>
      </c>
      <c r="AL769" t="s">
        <v>206</v>
      </c>
      <c r="AN769" t="s">
        <v>254</v>
      </c>
      <c r="AO769">
        <v>1</v>
      </c>
      <c r="AP769" t="s">
        <v>208</v>
      </c>
      <c r="AQ769" t="s">
        <v>209</v>
      </c>
      <c r="AR769" t="s">
        <v>502</v>
      </c>
      <c r="AW769" t="s">
        <v>212</v>
      </c>
      <c r="AZ769" t="s">
        <v>209</v>
      </c>
      <c r="BI769" t="s">
        <v>212</v>
      </c>
      <c r="BJ769" t="s">
        <v>213</v>
      </c>
      <c r="BK769" t="s">
        <v>214</v>
      </c>
      <c r="BL769" t="s">
        <v>357</v>
      </c>
      <c r="BN769" t="s">
        <v>661</v>
      </c>
      <c r="BO769" t="s">
        <v>209</v>
      </c>
      <c r="BS769" t="s">
        <v>220</v>
      </c>
      <c r="BU769" t="s">
        <v>212</v>
      </c>
      <c r="BZ769" t="s">
        <v>662</v>
      </c>
      <c r="CA769" t="s">
        <v>287</v>
      </c>
      <c r="CC769" t="s">
        <v>209</v>
      </c>
      <c r="CE769" t="s">
        <v>242</v>
      </c>
      <c r="CJ769" t="s">
        <v>206</v>
      </c>
      <c r="CK769" t="s">
        <v>230</v>
      </c>
      <c r="CL769" t="s">
        <v>231</v>
      </c>
      <c r="CM769" t="s">
        <v>232</v>
      </c>
      <c r="CN769" t="s">
        <v>233</v>
      </c>
      <c r="CP769" t="s">
        <v>212</v>
      </c>
      <c r="CQ769" t="s">
        <v>212</v>
      </c>
      <c r="CR769" t="s">
        <v>212</v>
      </c>
      <c r="CS769" t="s">
        <v>212</v>
      </c>
      <c r="CY769" t="s">
        <v>212</v>
      </c>
      <c r="DB769" t="s">
        <v>234</v>
      </c>
      <c r="DE769" t="s">
        <v>212</v>
      </c>
      <c r="DF769" t="s">
        <v>212</v>
      </c>
      <c r="DG769" t="s">
        <v>235</v>
      </c>
      <c r="DH769" t="s">
        <v>212</v>
      </c>
      <c r="DJ769" t="s">
        <v>236</v>
      </c>
      <c r="DM769" t="s">
        <v>212</v>
      </c>
      <c r="GB769" t="s">
        <v>206</v>
      </c>
    </row>
    <row r="770" spans="1:184" x14ac:dyDescent="0.3">
      <c r="A770">
        <v>24812542</v>
      </c>
      <c r="B770">
        <v>8862767</v>
      </c>
      <c r="C770" t="str">
        <f>"171102602313"</f>
        <v>171102602313</v>
      </c>
      <c r="D770" t="s">
        <v>1959</v>
      </c>
      <c r="E770" t="s">
        <v>770</v>
      </c>
      <c r="F770" t="s">
        <v>1960</v>
      </c>
      <c r="G770" s="1">
        <v>43041</v>
      </c>
      <c r="I770" t="s">
        <v>199</v>
      </c>
      <c r="J770" t="s">
        <v>200</v>
      </c>
      <c r="K770" t="s">
        <v>201</v>
      </c>
      <c r="Q770" t="s">
        <v>212</v>
      </c>
      <c r="R770" t="str">
        <f>"КАЗАХСТАН, АКМОЛИНСКАЯ, СТЕПНОГОРСК, СТЕПНОГОРСК, 16, 85"</f>
        <v>КАЗАХСТАН, АКМОЛИНСКАЯ, СТЕПНОГОРСК, СТЕПНОГОРСК, 16, 85</v>
      </c>
      <c r="S770" t="str">
        <f>"ҚАЗАҚСТАН, АҚМОЛА, СТЕПНОГОР, СТЕПНОГОРСК, 16, 85"</f>
        <v>ҚАЗАҚСТАН, АҚМОЛА, СТЕПНОГОР, СТЕПНОГОРСК, 16, 85</v>
      </c>
      <c r="T770" t="str">
        <f>"СТЕПНОГОРСК, 16, 85"</f>
        <v>СТЕПНОГОРСК, 16, 85</v>
      </c>
      <c r="U770" t="str">
        <f>"СТЕПНОГОРСК, 16, 85"</f>
        <v>СТЕПНОГОРСК, 16, 85</v>
      </c>
      <c r="AC770" t="str">
        <f>"2023-08-25T00:00:00"</f>
        <v>2023-08-25T00:00:00</v>
      </c>
      <c r="AD770" t="str">
        <f t="shared" si="38"/>
        <v>201</v>
      </c>
      <c r="AG770" t="s">
        <v>202</v>
      </c>
      <c r="AI770" t="s">
        <v>274</v>
      </c>
      <c r="AJ770" t="s">
        <v>660</v>
      </c>
      <c r="AK770" t="s">
        <v>253</v>
      </c>
      <c r="AL770" t="s">
        <v>206</v>
      </c>
      <c r="AN770" t="s">
        <v>254</v>
      </c>
      <c r="AO770">
        <v>1</v>
      </c>
      <c r="AP770" t="s">
        <v>208</v>
      </c>
      <c r="AQ770" t="s">
        <v>209</v>
      </c>
      <c r="AR770" t="s">
        <v>502</v>
      </c>
      <c r="AW770" t="s">
        <v>212</v>
      </c>
      <c r="AZ770" t="s">
        <v>209</v>
      </c>
      <c r="BI770" t="s">
        <v>212</v>
      </c>
      <c r="BJ770" t="s">
        <v>213</v>
      </c>
      <c r="BK770" t="s">
        <v>214</v>
      </c>
      <c r="BL770" t="s">
        <v>357</v>
      </c>
      <c r="BN770" t="s">
        <v>661</v>
      </c>
      <c r="BO770" t="s">
        <v>209</v>
      </c>
      <c r="BS770" t="s">
        <v>220</v>
      </c>
      <c r="BU770" t="s">
        <v>212</v>
      </c>
      <c r="BZ770" t="s">
        <v>662</v>
      </c>
      <c r="CA770" t="s">
        <v>287</v>
      </c>
      <c r="CC770" t="s">
        <v>209</v>
      </c>
      <c r="CE770" t="s">
        <v>242</v>
      </c>
      <c r="CJ770" t="s">
        <v>206</v>
      </c>
      <c r="CK770" t="s">
        <v>230</v>
      </c>
      <c r="CL770" t="s">
        <v>231</v>
      </c>
      <c r="CM770" t="s">
        <v>232</v>
      </c>
      <c r="CN770" t="s">
        <v>233</v>
      </c>
      <c r="CP770" t="s">
        <v>212</v>
      </c>
      <c r="CQ770" t="s">
        <v>212</v>
      </c>
      <c r="CR770" t="s">
        <v>212</v>
      </c>
      <c r="CS770" t="s">
        <v>212</v>
      </c>
      <c r="CY770" t="s">
        <v>212</v>
      </c>
      <c r="DB770" t="s">
        <v>234</v>
      </c>
      <c r="DE770" t="s">
        <v>212</v>
      </c>
      <c r="DF770" t="s">
        <v>212</v>
      </c>
      <c r="DG770" t="s">
        <v>235</v>
      </c>
      <c r="DH770" t="s">
        <v>212</v>
      </c>
      <c r="DJ770" t="s">
        <v>236</v>
      </c>
      <c r="DM770" t="s">
        <v>212</v>
      </c>
      <c r="GB770" t="s">
        <v>206</v>
      </c>
    </row>
    <row r="771" spans="1:184" x14ac:dyDescent="0.3">
      <c r="A771">
        <v>24812543</v>
      </c>
      <c r="B771">
        <v>13113314</v>
      </c>
      <c r="C771" t="str">
        <f>"151215600873"</f>
        <v>151215600873</v>
      </c>
      <c r="D771" t="s">
        <v>1160</v>
      </c>
      <c r="E771" t="s">
        <v>1401</v>
      </c>
      <c r="F771" t="s">
        <v>700</v>
      </c>
      <c r="G771" s="1">
        <v>42353</v>
      </c>
      <c r="I771" t="s">
        <v>199</v>
      </c>
      <c r="J771" t="s">
        <v>200</v>
      </c>
      <c r="K771" t="s">
        <v>260</v>
      </c>
      <c r="Q771" t="s">
        <v>212</v>
      </c>
      <c r="R771" t="str">
        <f>"КАЗАХСТАН, АКМОЛИНСКАЯ, СТЕПНОГОРСК, 42, 32"</f>
        <v>КАЗАХСТАН, АКМОЛИНСКАЯ, СТЕПНОГОРСК, 42, 32</v>
      </c>
      <c r="S771" t="str">
        <f>"ҚАЗАҚСТАН, АҚМОЛА, СТЕПНОГОР, 42, 32"</f>
        <v>ҚАЗАҚСТАН, АҚМОЛА, СТЕПНОГОР, 42, 32</v>
      </c>
      <c r="T771" t="str">
        <f>"42, 32"</f>
        <v>42, 32</v>
      </c>
      <c r="U771" t="str">
        <f>"42, 32"</f>
        <v>42, 32</v>
      </c>
      <c r="AC771" t="str">
        <f>"2023-08-25T00:00:00"</f>
        <v>2023-08-25T00:00:00</v>
      </c>
      <c r="AD771" t="str">
        <f t="shared" si="38"/>
        <v>201</v>
      </c>
      <c r="AG771" t="s">
        <v>202</v>
      </c>
      <c r="AI771" t="s">
        <v>299</v>
      </c>
      <c r="AJ771" t="s">
        <v>660</v>
      </c>
      <c r="AK771" t="s">
        <v>261</v>
      </c>
      <c r="AL771" t="s">
        <v>206</v>
      </c>
      <c r="AN771" t="s">
        <v>207</v>
      </c>
      <c r="AO771">
        <v>1</v>
      </c>
      <c r="AP771" t="s">
        <v>208</v>
      </c>
      <c r="AQ771" t="s">
        <v>209</v>
      </c>
      <c r="AR771" t="s">
        <v>502</v>
      </c>
      <c r="AW771" t="s">
        <v>212</v>
      </c>
      <c r="AZ771" t="s">
        <v>209</v>
      </c>
      <c r="BI771" t="s">
        <v>212</v>
      </c>
      <c r="BJ771" t="s">
        <v>213</v>
      </c>
      <c r="BK771" t="s">
        <v>214</v>
      </c>
      <c r="BL771" t="s">
        <v>357</v>
      </c>
      <c r="BN771" t="s">
        <v>661</v>
      </c>
      <c r="BO771" t="s">
        <v>209</v>
      </c>
      <c r="BS771" t="s">
        <v>220</v>
      </c>
      <c r="BU771" t="s">
        <v>212</v>
      </c>
      <c r="BX771" t="s">
        <v>221</v>
      </c>
      <c r="BY771" t="s">
        <v>221</v>
      </c>
      <c r="BZ771" t="s">
        <v>662</v>
      </c>
      <c r="CA771" t="s">
        <v>287</v>
      </c>
      <c r="CC771" t="s">
        <v>209</v>
      </c>
      <c r="CE771" t="s">
        <v>242</v>
      </c>
      <c r="CJ771" t="s">
        <v>206</v>
      </c>
      <c r="CK771" t="s">
        <v>230</v>
      </c>
      <c r="CL771" t="s">
        <v>231</v>
      </c>
      <c r="CM771" t="s">
        <v>232</v>
      </c>
      <c r="CN771" t="s">
        <v>233</v>
      </c>
      <c r="CP771" t="s">
        <v>212</v>
      </c>
      <c r="CQ771" t="s">
        <v>212</v>
      </c>
      <c r="CR771" t="s">
        <v>212</v>
      </c>
      <c r="CS771" t="s">
        <v>212</v>
      </c>
      <c r="CY771" t="s">
        <v>212</v>
      </c>
      <c r="DB771" t="s">
        <v>234</v>
      </c>
      <c r="DE771" t="s">
        <v>212</v>
      </c>
      <c r="DF771" t="s">
        <v>212</v>
      </c>
      <c r="DG771" t="s">
        <v>235</v>
      </c>
      <c r="DH771" t="s">
        <v>212</v>
      </c>
      <c r="DJ771" t="s">
        <v>236</v>
      </c>
      <c r="DM771" t="s">
        <v>212</v>
      </c>
      <c r="GB771" t="s">
        <v>206</v>
      </c>
    </row>
    <row r="772" spans="1:184" x14ac:dyDescent="0.3">
      <c r="A772">
        <v>24827774</v>
      </c>
      <c r="B772">
        <v>8861509</v>
      </c>
      <c r="C772" t="str">
        <f>"170121500629"</f>
        <v>170121500629</v>
      </c>
      <c r="D772" t="s">
        <v>905</v>
      </c>
      <c r="E772" t="s">
        <v>1325</v>
      </c>
      <c r="F772" t="s">
        <v>1274</v>
      </c>
      <c r="G772" s="1">
        <v>42756</v>
      </c>
      <c r="I772" t="s">
        <v>240</v>
      </c>
      <c r="J772" t="s">
        <v>200</v>
      </c>
      <c r="K772" t="s">
        <v>201</v>
      </c>
      <c r="Q772" t="s">
        <v>212</v>
      </c>
      <c r="R772" t="str">
        <f>"КАЗАХСТАН, АКМОЛИНСКАЯ, СТЕПНОГОРСК, 86, 49"</f>
        <v>КАЗАХСТАН, АКМОЛИНСКАЯ, СТЕПНОГОРСК, 86, 49</v>
      </c>
      <c r="S772" t="str">
        <f>"ҚАЗАҚСТАН, АҚМОЛА, СТЕПНОГОР, 86, 49"</f>
        <v>ҚАЗАҚСТАН, АҚМОЛА, СТЕПНОГОР, 86, 49</v>
      </c>
      <c r="T772" t="str">
        <f>"86, 49"</f>
        <v>86, 49</v>
      </c>
      <c r="U772" t="str">
        <f>"86, 49"</f>
        <v>86, 49</v>
      </c>
      <c r="AC772" t="str">
        <f>"2023-08-25T00:00:00"</f>
        <v>2023-08-25T00:00:00</v>
      </c>
      <c r="AD772" t="str">
        <f t="shared" si="38"/>
        <v>201</v>
      </c>
      <c r="AG772" t="s">
        <v>202</v>
      </c>
      <c r="AI772" t="s">
        <v>274</v>
      </c>
      <c r="AJ772" t="s">
        <v>660</v>
      </c>
      <c r="AK772" t="s">
        <v>261</v>
      </c>
      <c r="AL772" t="s">
        <v>206</v>
      </c>
      <c r="AN772" t="s">
        <v>207</v>
      </c>
      <c r="AO772">
        <v>1</v>
      </c>
      <c r="AP772" t="s">
        <v>208</v>
      </c>
      <c r="AQ772" t="s">
        <v>209</v>
      </c>
      <c r="AR772" t="s">
        <v>502</v>
      </c>
      <c r="AW772" t="s">
        <v>212</v>
      </c>
      <c r="AZ772" t="s">
        <v>209</v>
      </c>
      <c r="BI772" t="s">
        <v>212</v>
      </c>
      <c r="BJ772" t="s">
        <v>213</v>
      </c>
      <c r="BK772" t="s">
        <v>214</v>
      </c>
      <c r="BL772" t="s">
        <v>357</v>
      </c>
      <c r="BN772" t="s">
        <v>661</v>
      </c>
      <c r="BO772" t="s">
        <v>209</v>
      </c>
      <c r="BS772" t="s">
        <v>220</v>
      </c>
      <c r="BU772" t="s">
        <v>212</v>
      </c>
      <c r="BZ772" t="s">
        <v>662</v>
      </c>
      <c r="CA772" t="s">
        <v>287</v>
      </c>
      <c r="CC772" t="s">
        <v>209</v>
      </c>
      <c r="CE772" t="s">
        <v>242</v>
      </c>
      <c r="CJ772" t="s">
        <v>206</v>
      </c>
      <c r="CK772" t="s">
        <v>230</v>
      </c>
      <c r="CL772" t="s">
        <v>231</v>
      </c>
      <c r="CM772" t="s">
        <v>232</v>
      </c>
      <c r="CN772" t="s">
        <v>233</v>
      </c>
      <c r="CP772" t="s">
        <v>212</v>
      </c>
      <c r="CQ772" t="s">
        <v>212</v>
      </c>
      <c r="CR772" t="s">
        <v>212</v>
      </c>
      <c r="CS772" t="s">
        <v>212</v>
      </c>
      <c r="CY772" t="s">
        <v>212</v>
      </c>
      <c r="DB772" t="s">
        <v>234</v>
      </c>
      <c r="DE772" t="s">
        <v>212</v>
      </c>
      <c r="DF772" t="s">
        <v>212</v>
      </c>
      <c r="DG772" t="s">
        <v>235</v>
      </c>
      <c r="DH772" t="s">
        <v>212</v>
      </c>
      <c r="DJ772" t="s">
        <v>236</v>
      </c>
      <c r="DM772" t="s">
        <v>206</v>
      </c>
      <c r="GB772" t="s">
        <v>206</v>
      </c>
    </row>
    <row r="773" spans="1:184" x14ac:dyDescent="0.3">
      <c r="A773">
        <v>24855284</v>
      </c>
      <c r="B773">
        <v>12845552</v>
      </c>
      <c r="C773" t="str">
        <f>"170616602216"</f>
        <v>170616602216</v>
      </c>
      <c r="D773" t="s">
        <v>1065</v>
      </c>
      <c r="E773" t="s">
        <v>597</v>
      </c>
      <c r="F773" t="s">
        <v>1961</v>
      </c>
      <c r="G773" s="1">
        <v>42902</v>
      </c>
      <c r="I773" t="s">
        <v>199</v>
      </c>
      <c r="J773" t="s">
        <v>200</v>
      </c>
      <c r="K773" t="s">
        <v>201</v>
      </c>
      <c r="Q773" t="s">
        <v>212</v>
      </c>
      <c r="R773" t="str">
        <f>"КАЗАХСТАН, АКМОЛИНСКАЯ, ЗЕРЕНДИНСКИЙ РАЙОН, Зерендинский, Зеренда, 74"</f>
        <v>КАЗАХСТАН, АКМОЛИНСКАЯ, ЗЕРЕНДИНСКИЙ РАЙОН, Зерендинский, Зеренда, 74</v>
      </c>
      <c r="S773" t="str">
        <f>"ҚАЗАҚСТАН, АҚМОЛА, ЗЕРЕНДІ АУДАНЫ, Зерендинский, Зеренда, 74"</f>
        <v>ҚАЗАҚСТАН, АҚМОЛА, ЗЕРЕНДІ АУДАНЫ, Зерендинский, Зеренда, 74</v>
      </c>
      <c r="T773" t="str">
        <f>"Зерендинский, Зеренда, 74"</f>
        <v>Зерендинский, Зеренда, 74</v>
      </c>
      <c r="U773" t="str">
        <f>"Зерендинский, Зеренда, 74"</f>
        <v>Зерендинский, Зеренда, 74</v>
      </c>
      <c r="AC773" t="str">
        <f>"2023-08-25T00:00:00"</f>
        <v>2023-08-25T00:00:00</v>
      </c>
      <c r="AD773" t="str">
        <f t="shared" si="38"/>
        <v>201</v>
      </c>
      <c r="AG773" t="s">
        <v>202</v>
      </c>
      <c r="AI773" t="s">
        <v>274</v>
      </c>
      <c r="AJ773" t="s">
        <v>660</v>
      </c>
      <c r="AK773" t="s">
        <v>261</v>
      </c>
      <c r="AL773" t="s">
        <v>206</v>
      </c>
      <c r="AN773" t="s">
        <v>207</v>
      </c>
      <c r="AO773">
        <v>1</v>
      </c>
      <c r="AP773" t="s">
        <v>208</v>
      </c>
      <c r="AQ773" t="s">
        <v>209</v>
      </c>
      <c r="AR773" t="s">
        <v>502</v>
      </c>
      <c r="AW773" t="s">
        <v>212</v>
      </c>
      <c r="AZ773" t="s">
        <v>209</v>
      </c>
      <c r="BI773" t="s">
        <v>212</v>
      </c>
      <c r="BJ773" t="s">
        <v>213</v>
      </c>
      <c r="BK773" t="s">
        <v>214</v>
      </c>
      <c r="BL773" t="s">
        <v>357</v>
      </c>
      <c r="BN773" t="s">
        <v>661</v>
      </c>
      <c r="BO773" t="s">
        <v>209</v>
      </c>
      <c r="BS773" t="s">
        <v>220</v>
      </c>
      <c r="BU773" t="s">
        <v>212</v>
      </c>
      <c r="BZ773" t="s">
        <v>662</v>
      </c>
      <c r="CA773" t="s">
        <v>287</v>
      </c>
      <c r="CC773" t="s">
        <v>209</v>
      </c>
      <c r="CE773" t="s">
        <v>242</v>
      </c>
      <c r="CJ773" t="s">
        <v>206</v>
      </c>
      <c r="CK773" t="s">
        <v>230</v>
      </c>
      <c r="CL773" t="s">
        <v>231</v>
      </c>
      <c r="CM773" t="s">
        <v>232</v>
      </c>
      <c r="CN773" t="s">
        <v>233</v>
      </c>
      <c r="CP773" t="s">
        <v>212</v>
      </c>
      <c r="CQ773" t="s">
        <v>212</v>
      </c>
      <c r="CR773" t="s">
        <v>212</v>
      </c>
      <c r="CS773" t="s">
        <v>212</v>
      </c>
      <c r="CY773" t="s">
        <v>212</v>
      </c>
      <c r="DB773" t="s">
        <v>234</v>
      </c>
      <c r="DE773" t="s">
        <v>212</v>
      </c>
      <c r="DF773" t="s">
        <v>212</v>
      </c>
      <c r="DG773" t="s">
        <v>235</v>
      </c>
      <c r="DH773" t="s">
        <v>212</v>
      </c>
      <c r="DI773" t="s">
        <v>1420</v>
      </c>
      <c r="DJ773" t="s">
        <v>1421</v>
      </c>
      <c r="DK773" t="s">
        <v>707</v>
      </c>
      <c r="DL773" t="s">
        <v>423</v>
      </c>
      <c r="DM773" t="s">
        <v>212</v>
      </c>
      <c r="GB773" t="s">
        <v>206</v>
      </c>
    </row>
    <row r="774" spans="1:184" x14ac:dyDescent="0.3">
      <c r="A774">
        <v>24893051</v>
      </c>
      <c r="B774">
        <v>9674084</v>
      </c>
      <c r="C774" t="str">
        <f>"170503502867"</f>
        <v>170503502867</v>
      </c>
      <c r="D774" t="s">
        <v>1962</v>
      </c>
      <c r="E774" t="s">
        <v>679</v>
      </c>
      <c r="F774" t="s">
        <v>290</v>
      </c>
      <c r="G774" s="1">
        <v>42858</v>
      </c>
      <c r="I774" t="s">
        <v>240</v>
      </c>
      <c r="J774" t="s">
        <v>200</v>
      </c>
      <c r="K774" t="s">
        <v>260</v>
      </c>
      <c r="Q774" t="s">
        <v>212</v>
      </c>
      <c r="R774" t="str">
        <f>"КАЗАХСТАН, АКМОЛИНСКАЯ, СТЕПНОГОРСК, -, 20/1, 6"</f>
        <v>КАЗАХСТАН, АКМОЛИНСКАЯ, СТЕПНОГОРСК, -, 20/1, 6</v>
      </c>
      <c r="S774" t="str">
        <f>"ҚАЗАҚСТАН, АҚМОЛА, СТЕПНОГОР, -, 20/1, 6"</f>
        <v>ҚАЗАҚСТАН, АҚМОЛА, СТЕПНОГОР, -, 20/1, 6</v>
      </c>
      <c r="T774" t="str">
        <f>"-, 20/1, 6"</f>
        <v>-, 20/1, 6</v>
      </c>
      <c r="U774" t="str">
        <f>"-, 20/1, 6"</f>
        <v>-, 20/1, 6</v>
      </c>
      <c r="AC774" t="str">
        <f>"2023-08-25T00:00:00"</f>
        <v>2023-08-25T00:00:00</v>
      </c>
      <c r="AD774" t="str">
        <f t="shared" si="38"/>
        <v>201</v>
      </c>
      <c r="AE774" t="str">
        <f>"2023-09-01T13:35:43"</f>
        <v>2023-09-01T13:35:43</v>
      </c>
      <c r="AF774" t="str">
        <f>"2024-05-25T13:35:43"</f>
        <v>2024-05-25T13:35:43</v>
      </c>
      <c r="AG774" t="s">
        <v>202</v>
      </c>
      <c r="AI774" t="s">
        <v>269</v>
      </c>
      <c r="AJ774" t="s">
        <v>660</v>
      </c>
      <c r="AK774" t="s">
        <v>246</v>
      </c>
      <c r="AL774" t="s">
        <v>206</v>
      </c>
      <c r="AN774" t="s">
        <v>207</v>
      </c>
      <c r="AO774">
        <v>1</v>
      </c>
      <c r="AP774" t="s">
        <v>208</v>
      </c>
      <c r="AQ774" t="s">
        <v>209</v>
      </c>
      <c r="AR774" t="s">
        <v>502</v>
      </c>
      <c r="AW774" t="s">
        <v>212</v>
      </c>
      <c r="AZ774" t="s">
        <v>209</v>
      </c>
      <c r="BI774" t="s">
        <v>212</v>
      </c>
      <c r="BJ774" t="s">
        <v>213</v>
      </c>
      <c r="BK774" t="s">
        <v>214</v>
      </c>
      <c r="BL774" t="s">
        <v>357</v>
      </c>
      <c r="BN774" t="s">
        <v>661</v>
      </c>
      <c r="BO774" t="s">
        <v>209</v>
      </c>
      <c r="BS774" t="s">
        <v>220</v>
      </c>
      <c r="BU774" t="s">
        <v>212</v>
      </c>
      <c r="BZ774" t="s">
        <v>662</v>
      </c>
      <c r="CA774" t="s">
        <v>287</v>
      </c>
      <c r="CC774" t="s">
        <v>209</v>
      </c>
      <c r="CE774" t="s">
        <v>242</v>
      </c>
      <c r="CJ774" t="s">
        <v>206</v>
      </c>
      <c r="CK774" t="s">
        <v>230</v>
      </c>
      <c r="CL774" t="s">
        <v>231</v>
      </c>
      <c r="CM774" t="s">
        <v>232</v>
      </c>
      <c r="CN774" t="s">
        <v>233</v>
      </c>
      <c r="CP774" t="s">
        <v>212</v>
      </c>
      <c r="CQ774" t="s">
        <v>212</v>
      </c>
      <c r="CR774" t="s">
        <v>212</v>
      </c>
      <c r="CS774" t="s">
        <v>212</v>
      </c>
      <c r="CY774" t="s">
        <v>212</v>
      </c>
      <c r="DB774" t="s">
        <v>653</v>
      </c>
      <c r="DC774" t="str">
        <f>"№1912 Общее недоразвитие речи 3 уровня с  дизартрическим  компонентом."</f>
        <v>№1912 Общее недоразвитие речи 3 уровня с  дизартрическим  компонентом.</v>
      </c>
      <c r="DD774" t="str">
        <f>"2023-12-26T00:00:00"</f>
        <v>2023-12-26T00:00:00</v>
      </c>
      <c r="DE774" t="s">
        <v>212</v>
      </c>
      <c r="DF774" t="s">
        <v>206</v>
      </c>
      <c r="DG774" t="s">
        <v>235</v>
      </c>
      <c r="DH774" t="s">
        <v>212</v>
      </c>
      <c r="DJ774" t="s">
        <v>236</v>
      </c>
      <c r="DM774" t="s">
        <v>212</v>
      </c>
      <c r="GB774" t="s">
        <v>206</v>
      </c>
    </row>
    <row r="775" spans="1:184" x14ac:dyDescent="0.3">
      <c r="A775">
        <v>24897265</v>
      </c>
      <c r="B775">
        <v>12630624</v>
      </c>
      <c r="C775" t="str">
        <f>"141105605517"</f>
        <v>141105605517</v>
      </c>
      <c r="D775" t="s">
        <v>1963</v>
      </c>
      <c r="E775" t="s">
        <v>1964</v>
      </c>
      <c r="F775" t="s">
        <v>1965</v>
      </c>
      <c r="G775" s="1">
        <v>41948</v>
      </c>
      <c r="I775" t="s">
        <v>199</v>
      </c>
      <c r="J775" t="s">
        <v>200</v>
      </c>
      <c r="K775" t="s">
        <v>1620</v>
      </c>
      <c r="Q775" t="s">
        <v>212</v>
      </c>
      <c r="R775" t="str">
        <f>"КАЗАХСТАН, АКМОЛИНСКАЯ, КОКШЕТАУ, 10"</f>
        <v>КАЗАХСТАН, АКМОЛИНСКАЯ, КОКШЕТАУ, 10</v>
      </c>
      <c r="S775" t="str">
        <f>"ҚАЗАҚСТАН, АҚМОЛА, КӨКШЕТАУ, 10"</f>
        <v>ҚАЗАҚСТАН, АҚМОЛА, КӨКШЕТАУ, 10</v>
      </c>
      <c r="T775" t="str">
        <f t="shared" ref="T775:U777" si="39">"10"</f>
        <v>10</v>
      </c>
      <c r="U775" t="str">
        <f t="shared" si="39"/>
        <v>10</v>
      </c>
      <c r="AC775" t="str">
        <f>"2023-06-14T00:00:00"</f>
        <v>2023-06-14T00:00:00</v>
      </c>
      <c r="AD775" t="str">
        <f>"28"</f>
        <v>28</v>
      </c>
      <c r="AE775" t="str">
        <f>"2023-09-01T23:06:09"</f>
        <v>2023-09-01T23:06:09</v>
      </c>
      <c r="AF775" t="str">
        <f>"2024-05-25T23:06:09"</f>
        <v>2024-05-25T23:06:09</v>
      </c>
      <c r="AG775" t="s">
        <v>202</v>
      </c>
      <c r="AI775" t="s">
        <v>269</v>
      </c>
      <c r="AJ775" t="s">
        <v>570</v>
      </c>
      <c r="AK775" t="s">
        <v>261</v>
      </c>
      <c r="AL775" t="s">
        <v>206</v>
      </c>
      <c r="AN775" t="s">
        <v>207</v>
      </c>
      <c r="AO775">
        <v>2</v>
      </c>
      <c r="AP775" t="s">
        <v>208</v>
      </c>
      <c r="AQ775" t="s">
        <v>209</v>
      </c>
      <c r="AR775" t="s">
        <v>502</v>
      </c>
      <c r="AW775" t="s">
        <v>212</v>
      </c>
      <c r="AZ775" t="s">
        <v>209</v>
      </c>
      <c r="BI775" t="s">
        <v>212</v>
      </c>
      <c r="BJ775" t="s">
        <v>213</v>
      </c>
      <c r="BK775" t="s">
        <v>214</v>
      </c>
      <c r="BL775" t="s">
        <v>357</v>
      </c>
      <c r="BN775" t="s">
        <v>216</v>
      </c>
      <c r="BO775" t="s">
        <v>209</v>
      </c>
      <c r="BP775" t="s">
        <v>241</v>
      </c>
      <c r="BQ775">
        <v>4</v>
      </c>
      <c r="BS775" t="s">
        <v>220</v>
      </c>
      <c r="BU775" t="s">
        <v>212</v>
      </c>
      <c r="BX775" t="s">
        <v>234</v>
      </c>
      <c r="BY775" t="s">
        <v>234</v>
      </c>
      <c r="BZ775" t="s">
        <v>571</v>
      </c>
      <c r="CA775" t="s">
        <v>287</v>
      </c>
      <c r="CC775" t="s">
        <v>209</v>
      </c>
      <c r="CE775" t="s">
        <v>242</v>
      </c>
      <c r="CJ775" t="s">
        <v>206</v>
      </c>
      <c r="CK775" t="s">
        <v>230</v>
      </c>
      <c r="CL775" t="s">
        <v>231</v>
      </c>
      <c r="CM775" t="s">
        <v>232</v>
      </c>
      <c r="CN775" t="s">
        <v>233</v>
      </c>
      <c r="CP775" t="s">
        <v>212</v>
      </c>
      <c r="CQ775" t="s">
        <v>212</v>
      </c>
      <c r="CR775" t="s">
        <v>212</v>
      </c>
      <c r="CS775" t="s">
        <v>212</v>
      </c>
      <c r="CY775" t="s">
        <v>212</v>
      </c>
      <c r="DB775" t="s">
        <v>234</v>
      </c>
      <c r="DE775" t="s">
        <v>212</v>
      </c>
      <c r="DF775" t="s">
        <v>212</v>
      </c>
      <c r="DG775" t="s">
        <v>235</v>
      </c>
      <c r="DH775" t="s">
        <v>212</v>
      </c>
      <c r="DJ775" t="s">
        <v>236</v>
      </c>
      <c r="DM775" t="s">
        <v>206</v>
      </c>
    </row>
    <row r="776" spans="1:184" x14ac:dyDescent="0.3">
      <c r="A776">
        <v>24897268</v>
      </c>
      <c r="B776">
        <v>12643525</v>
      </c>
      <c r="C776" t="str">
        <f>"160114604935"</f>
        <v>160114604935</v>
      </c>
      <c r="D776" t="s">
        <v>1963</v>
      </c>
      <c r="E776" t="s">
        <v>1040</v>
      </c>
      <c r="F776" t="s">
        <v>1965</v>
      </c>
      <c r="G776" s="1">
        <v>42383</v>
      </c>
      <c r="I776" t="s">
        <v>199</v>
      </c>
      <c r="J776" t="s">
        <v>200</v>
      </c>
      <c r="K776" t="s">
        <v>1620</v>
      </c>
      <c r="R776" t="str">
        <f>"КАЗАХСТАН, АКМОЛИНСКАЯ, КОКШЕТАУ, 10"</f>
        <v>КАЗАХСТАН, АКМОЛИНСКАЯ, КОКШЕТАУ, 10</v>
      </c>
      <c r="S776" t="str">
        <f>"ҚАЗАҚСТАН, АҚМОЛА, КӨКШЕТАУ, 10"</f>
        <v>ҚАЗАҚСТАН, АҚМОЛА, КӨКШЕТАУ, 10</v>
      </c>
      <c r="T776" t="str">
        <f t="shared" si="39"/>
        <v>10</v>
      </c>
      <c r="U776" t="str">
        <f t="shared" si="39"/>
        <v>10</v>
      </c>
      <c r="AC776" t="str">
        <f>"2023-08-25T00:00:00"</f>
        <v>2023-08-25T00:00:00</v>
      </c>
      <c r="AD776" t="str">
        <f>"201"</f>
        <v>201</v>
      </c>
      <c r="AG776" t="s">
        <v>202</v>
      </c>
      <c r="AI776" t="s">
        <v>269</v>
      </c>
      <c r="AJ776" t="s">
        <v>660</v>
      </c>
      <c r="AK776" t="s">
        <v>261</v>
      </c>
      <c r="AL776" t="s">
        <v>206</v>
      </c>
      <c r="AN776" t="s">
        <v>207</v>
      </c>
      <c r="AO776">
        <v>1</v>
      </c>
      <c r="AP776" t="s">
        <v>208</v>
      </c>
      <c r="AQ776" t="s">
        <v>209</v>
      </c>
      <c r="AR776" t="s">
        <v>502</v>
      </c>
      <c r="AW776" t="s">
        <v>212</v>
      </c>
      <c r="AZ776" t="s">
        <v>209</v>
      </c>
      <c r="BI776" t="s">
        <v>212</v>
      </c>
      <c r="BJ776" t="s">
        <v>213</v>
      </c>
      <c r="BK776" t="s">
        <v>214</v>
      </c>
      <c r="BL776" t="s">
        <v>357</v>
      </c>
      <c r="BN776" t="s">
        <v>661</v>
      </c>
      <c r="BO776" t="s">
        <v>209</v>
      </c>
      <c r="BS776" t="s">
        <v>220</v>
      </c>
      <c r="BU776" t="s">
        <v>212</v>
      </c>
      <c r="BX776" t="s">
        <v>234</v>
      </c>
      <c r="BY776" t="s">
        <v>234</v>
      </c>
      <c r="BZ776" t="s">
        <v>662</v>
      </c>
      <c r="CA776" t="s">
        <v>287</v>
      </c>
      <c r="CC776" t="s">
        <v>209</v>
      </c>
      <c r="CE776" t="s">
        <v>242</v>
      </c>
      <c r="CJ776" t="s">
        <v>206</v>
      </c>
      <c r="CK776" t="s">
        <v>230</v>
      </c>
      <c r="CL776" t="s">
        <v>231</v>
      </c>
      <c r="CM776" t="s">
        <v>232</v>
      </c>
      <c r="CN776" t="s">
        <v>233</v>
      </c>
      <c r="CP776" t="s">
        <v>212</v>
      </c>
      <c r="CQ776" t="s">
        <v>212</v>
      </c>
      <c r="CR776" t="s">
        <v>212</v>
      </c>
      <c r="CS776" t="s">
        <v>212</v>
      </c>
      <c r="CY776" t="s">
        <v>212</v>
      </c>
      <c r="DB776" t="s">
        <v>234</v>
      </c>
      <c r="DE776" t="s">
        <v>212</v>
      </c>
      <c r="DF776" t="s">
        <v>212</v>
      </c>
      <c r="DG776" t="s">
        <v>235</v>
      </c>
      <c r="DH776" t="s">
        <v>212</v>
      </c>
      <c r="DJ776" t="s">
        <v>236</v>
      </c>
      <c r="DM776" t="s">
        <v>206</v>
      </c>
    </row>
    <row r="777" spans="1:184" x14ac:dyDescent="0.3">
      <c r="A777">
        <v>24897272</v>
      </c>
      <c r="B777">
        <v>12643532</v>
      </c>
      <c r="C777" t="str">
        <f>"170812603636"</f>
        <v>170812603636</v>
      </c>
      <c r="D777" t="s">
        <v>1963</v>
      </c>
      <c r="E777" t="s">
        <v>1966</v>
      </c>
      <c r="F777" t="s">
        <v>1965</v>
      </c>
      <c r="G777" s="1">
        <v>42959</v>
      </c>
      <c r="I777" t="s">
        <v>199</v>
      </c>
      <c r="J777" t="s">
        <v>200</v>
      </c>
      <c r="K777" t="s">
        <v>1620</v>
      </c>
      <c r="Q777" t="s">
        <v>212</v>
      </c>
      <c r="R777" t="str">
        <f>"КАЗАХСТАН, АКМОЛИНСКАЯ, КОКШЕТАУ, 10"</f>
        <v>КАЗАХСТАН, АКМОЛИНСКАЯ, КОКШЕТАУ, 10</v>
      </c>
      <c r="S777" t="str">
        <f>"ҚАЗАҚСТАН, АҚМОЛА, КӨКШЕТАУ, 10"</f>
        <v>ҚАЗАҚСТАН, АҚМОЛА, КӨКШЕТАУ, 10</v>
      </c>
      <c r="T777" t="str">
        <f t="shared" si="39"/>
        <v>10</v>
      </c>
      <c r="U777" t="str">
        <f t="shared" si="39"/>
        <v>10</v>
      </c>
      <c r="AC777" t="str">
        <f>"2023-08-25T00:00:00"</f>
        <v>2023-08-25T00:00:00</v>
      </c>
      <c r="AD777" t="str">
        <f>"201"</f>
        <v>201</v>
      </c>
      <c r="AG777" t="s">
        <v>202</v>
      </c>
      <c r="AI777" t="s">
        <v>203</v>
      </c>
      <c r="AJ777" t="s">
        <v>660</v>
      </c>
      <c r="AK777" t="s">
        <v>261</v>
      </c>
      <c r="AL777" t="s">
        <v>206</v>
      </c>
      <c r="AN777" t="s">
        <v>207</v>
      </c>
      <c r="AO777">
        <v>1</v>
      </c>
      <c r="AP777" t="s">
        <v>208</v>
      </c>
      <c r="AQ777" t="s">
        <v>209</v>
      </c>
      <c r="AR777" t="s">
        <v>502</v>
      </c>
      <c r="AW777" t="s">
        <v>212</v>
      </c>
      <c r="AZ777" t="s">
        <v>209</v>
      </c>
      <c r="BI777" t="s">
        <v>212</v>
      </c>
      <c r="BJ777" t="s">
        <v>213</v>
      </c>
      <c r="BK777" t="s">
        <v>214</v>
      </c>
      <c r="BL777" t="s">
        <v>357</v>
      </c>
      <c r="BN777" t="s">
        <v>661</v>
      </c>
      <c r="BO777" t="s">
        <v>209</v>
      </c>
      <c r="BS777" t="s">
        <v>220</v>
      </c>
      <c r="BU777" t="s">
        <v>212</v>
      </c>
      <c r="BX777" t="s">
        <v>234</v>
      </c>
      <c r="BY777" t="s">
        <v>234</v>
      </c>
      <c r="BZ777" t="s">
        <v>662</v>
      </c>
      <c r="CA777" t="s">
        <v>287</v>
      </c>
      <c r="CC777" t="s">
        <v>209</v>
      </c>
      <c r="CE777" t="s">
        <v>242</v>
      </c>
      <c r="CJ777" t="s">
        <v>206</v>
      </c>
      <c r="CK777" t="s">
        <v>230</v>
      </c>
      <c r="CL777" t="s">
        <v>231</v>
      </c>
      <c r="CM777" t="s">
        <v>232</v>
      </c>
      <c r="CN777" t="s">
        <v>233</v>
      </c>
      <c r="CP777" t="s">
        <v>212</v>
      </c>
      <c r="CQ777" t="s">
        <v>212</v>
      </c>
      <c r="CR777" t="s">
        <v>212</v>
      </c>
      <c r="CS777" t="s">
        <v>212</v>
      </c>
      <c r="CY777" t="s">
        <v>212</v>
      </c>
      <c r="DB777" t="s">
        <v>234</v>
      </c>
      <c r="DE777" t="s">
        <v>212</v>
      </c>
      <c r="DF777" t="s">
        <v>212</v>
      </c>
      <c r="DG777" t="s">
        <v>235</v>
      </c>
      <c r="DH777" t="s">
        <v>212</v>
      </c>
      <c r="DI777" t="s">
        <v>1026</v>
      </c>
      <c r="DJ777" t="s">
        <v>421</v>
      </c>
      <c r="DK777" t="s">
        <v>707</v>
      </c>
      <c r="DL777" t="s">
        <v>423</v>
      </c>
      <c r="DM777" t="s">
        <v>206</v>
      </c>
    </row>
    <row r="778" spans="1:184" x14ac:dyDescent="0.3">
      <c r="A778">
        <v>24904660</v>
      </c>
      <c r="B778">
        <v>7392182</v>
      </c>
      <c r="C778" t="str">
        <f>"161016500460"</f>
        <v>161016500460</v>
      </c>
      <c r="D778" t="s">
        <v>1967</v>
      </c>
      <c r="E778" t="s">
        <v>1968</v>
      </c>
      <c r="F778" t="s">
        <v>1969</v>
      </c>
      <c r="G778" s="1">
        <v>42659</v>
      </c>
      <c r="I778" t="s">
        <v>240</v>
      </c>
      <c r="J778" t="s">
        <v>200</v>
      </c>
      <c r="K778" t="s">
        <v>201</v>
      </c>
      <c r="Q778" t="s">
        <v>212</v>
      </c>
      <c r="R778" t="str">
        <f>"КАЗАХСТАН, АКМОЛИНСКАЯ, СТЕПНОГОРСК, 33, 1"</f>
        <v>КАЗАХСТАН, АКМОЛИНСКАЯ, СТЕПНОГОРСК, 33, 1</v>
      </c>
      <c r="S778" t="str">
        <f>"ҚАЗАҚСТАН, АҚМОЛА, СТЕПНОГОР, 33, 1"</f>
        <v>ҚАЗАҚСТАН, АҚМОЛА, СТЕПНОГОР, 33, 1</v>
      </c>
      <c r="T778" t="str">
        <f>"33, 1"</f>
        <v>33, 1</v>
      </c>
      <c r="U778" t="str">
        <f>"33, 1"</f>
        <v>33, 1</v>
      </c>
      <c r="AC778" t="str">
        <f>"2023-08-25T00:00:00"</f>
        <v>2023-08-25T00:00:00</v>
      </c>
      <c r="AD778" t="str">
        <f>"201"</f>
        <v>201</v>
      </c>
      <c r="AG778" t="s">
        <v>202</v>
      </c>
      <c r="AI778" t="s">
        <v>299</v>
      </c>
      <c r="AJ778" t="s">
        <v>660</v>
      </c>
      <c r="AK778" t="s">
        <v>261</v>
      </c>
      <c r="AL778" t="s">
        <v>206</v>
      </c>
      <c r="AN778" t="s">
        <v>207</v>
      </c>
      <c r="AO778">
        <v>1</v>
      </c>
      <c r="AP778" t="s">
        <v>208</v>
      </c>
      <c r="AQ778" t="s">
        <v>209</v>
      </c>
      <c r="AR778" t="s">
        <v>502</v>
      </c>
      <c r="AW778" t="s">
        <v>212</v>
      </c>
      <c r="AZ778" t="s">
        <v>209</v>
      </c>
      <c r="BI778" t="s">
        <v>212</v>
      </c>
      <c r="BJ778" t="s">
        <v>213</v>
      </c>
      <c r="BK778" t="s">
        <v>214</v>
      </c>
      <c r="BL778" t="s">
        <v>357</v>
      </c>
      <c r="BN778" t="s">
        <v>661</v>
      </c>
      <c r="BO778" t="s">
        <v>209</v>
      </c>
      <c r="BS778" t="s">
        <v>220</v>
      </c>
      <c r="BU778" t="s">
        <v>212</v>
      </c>
      <c r="BZ778" t="s">
        <v>662</v>
      </c>
      <c r="CA778" t="s">
        <v>287</v>
      </c>
      <c r="CC778" t="s">
        <v>209</v>
      </c>
      <c r="CE778" t="s">
        <v>242</v>
      </c>
      <c r="CJ778" t="s">
        <v>206</v>
      </c>
      <c r="CK778" t="s">
        <v>230</v>
      </c>
      <c r="CL778" t="s">
        <v>231</v>
      </c>
      <c r="CM778" t="s">
        <v>232</v>
      </c>
      <c r="CN778" t="s">
        <v>233</v>
      </c>
      <c r="CP778" t="s">
        <v>212</v>
      </c>
      <c r="CQ778" t="s">
        <v>212</v>
      </c>
      <c r="CR778" t="s">
        <v>212</v>
      </c>
      <c r="CS778" t="s">
        <v>212</v>
      </c>
      <c r="CY778" t="s">
        <v>212</v>
      </c>
      <c r="DB778" t="s">
        <v>234</v>
      </c>
      <c r="DE778" t="s">
        <v>212</v>
      </c>
      <c r="DF778" t="s">
        <v>212</v>
      </c>
      <c r="DG778" t="s">
        <v>235</v>
      </c>
      <c r="DH778" t="s">
        <v>212</v>
      </c>
      <c r="DJ778" t="s">
        <v>236</v>
      </c>
      <c r="DM778" t="s">
        <v>206</v>
      </c>
      <c r="GB778" t="s">
        <v>206</v>
      </c>
    </row>
    <row r="779" spans="1:184" x14ac:dyDescent="0.3">
      <c r="A779">
        <v>24906522</v>
      </c>
      <c r="B779">
        <v>9689729</v>
      </c>
      <c r="C779" t="str">
        <f>"161225502651"</f>
        <v>161225502651</v>
      </c>
      <c r="D779" t="s">
        <v>1970</v>
      </c>
      <c r="E779" t="s">
        <v>978</v>
      </c>
      <c r="F779" t="s">
        <v>239</v>
      </c>
      <c r="G779" s="1">
        <v>42729</v>
      </c>
      <c r="I779" t="s">
        <v>240</v>
      </c>
      <c r="J779" t="s">
        <v>200</v>
      </c>
      <c r="K779" t="s">
        <v>260</v>
      </c>
      <c r="Q779" t="s">
        <v>212</v>
      </c>
      <c r="R779" t="str">
        <f>"КАЗАХСТАН, АКМОЛИНСКАЯ, СТЕПНОГОРСК, -, 26, 42"</f>
        <v>КАЗАХСТАН, АКМОЛИНСКАЯ, СТЕПНОГОРСК, -, 26, 42</v>
      </c>
      <c r="S779" t="str">
        <f>"ҚАЗАҚСТАН, АҚМОЛА, СТЕПНОГОР, -, 26, 42"</f>
        <v>ҚАЗАҚСТАН, АҚМОЛА, СТЕПНОГОР, -, 26, 42</v>
      </c>
      <c r="T779" t="str">
        <f>"-, 26, 42"</f>
        <v>-, 26, 42</v>
      </c>
      <c r="U779" t="str">
        <f>"-, 26, 42"</f>
        <v>-, 26, 42</v>
      </c>
      <c r="AC779" t="str">
        <f>"2023-08-25T00:00:00"</f>
        <v>2023-08-25T00:00:00</v>
      </c>
      <c r="AD779" t="str">
        <f>"201"</f>
        <v>201</v>
      </c>
      <c r="AE779" t="str">
        <f>"2023-09-01T17:39:55"</f>
        <v>2023-09-01T17:39:55</v>
      </c>
      <c r="AF779" t="str">
        <f>"2024-05-25T17:39:55"</f>
        <v>2024-05-25T17:39:55</v>
      </c>
      <c r="AG779" t="s">
        <v>202</v>
      </c>
      <c r="AI779" t="s">
        <v>299</v>
      </c>
      <c r="AJ779" t="s">
        <v>660</v>
      </c>
      <c r="AK779" t="s">
        <v>205</v>
      </c>
      <c r="AL779" t="s">
        <v>206</v>
      </c>
      <c r="AN779" t="s">
        <v>207</v>
      </c>
      <c r="AO779">
        <v>1</v>
      </c>
      <c r="AP779" t="s">
        <v>208</v>
      </c>
      <c r="AQ779" t="s">
        <v>209</v>
      </c>
      <c r="AR779" t="s">
        <v>502</v>
      </c>
      <c r="AW779" t="s">
        <v>212</v>
      </c>
      <c r="AZ779" t="s">
        <v>209</v>
      </c>
      <c r="BI779" t="s">
        <v>212</v>
      </c>
      <c r="BJ779" t="s">
        <v>213</v>
      </c>
      <c r="BK779" t="s">
        <v>214</v>
      </c>
      <c r="BL779" t="s">
        <v>357</v>
      </c>
      <c r="BN779" t="s">
        <v>661</v>
      </c>
      <c r="BO779" t="s">
        <v>209</v>
      </c>
      <c r="BS779" t="s">
        <v>220</v>
      </c>
      <c r="BU779" t="s">
        <v>212</v>
      </c>
      <c r="BZ779" t="s">
        <v>662</v>
      </c>
      <c r="CA779" t="s">
        <v>287</v>
      </c>
      <c r="CC779" t="s">
        <v>301</v>
      </c>
      <c r="CD779" t="s">
        <v>349</v>
      </c>
      <c r="CE779" t="s">
        <v>242</v>
      </c>
      <c r="CJ779" t="s">
        <v>206</v>
      </c>
      <c r="CK779" t="s">
        <v>230</v>
      </c>
      <c r="CL779" t="s">
        <v>231</v>
      </c>
      <c r="CM779" t="s">
        <v>232</v>
      </c>
      <c r="CN779" t="s">
        <v>233</v>
      </c>
      <c r="CP779" t="s">
        <v>212</v>
      </c>
      <c r="CQ779" t="s">
        <v>212</v>
      </c>
      <c r="CR779" t="s">
        <v>212</v>
      </c>
      <c r="CS779" t="s">
        <v>212</v>
      </c>
      <c r="CY779" t="s">
        <v>212</v>
      </c>
      <c r="DB779" t="s">
        <v>234</v>
      </c>
      <c r="DE779" t="s">
        <v>212</v>
      </c>
      <c r="DF779" t="s">
        <v>212</v>
      </c>
      <c r="DG779" t="s">
        <v>235</v>
      </c>
      <c r="DH779" t="s">
        <v>212</v>
      </c>
      <c r="DJ779" t="s">
        <v>236</v>
      </c>
      <c r="DM779" t="s">
        <v>212</v>
      </c>
      <c r="GB779" t="s">
        <v>206</v>
      </c>
    </row>
    <row r="780" spans="1:184" x14ac:dyDescent="0.3">
      <c r="A780">
        <v>24928280</v>
      </c>
      <c r="B780">
        <v>179508</v>
      </c>
      <c r="C780" t="str">
        <f>"130701601341"</f>
        <v>130701601341</v>
      </c>
      <c r="D780" t="s">
        <v>1382</v>
      </c>
      <c r="E780" t="s">
        <v>1395</v>
      </c>
      <c r="F780" t="s">
        <v>1971</v>
      </c>
      <c r="G780" s="1">
        <v>41456</v>
      </c>
      <c r="I780" t="s">
        <v>199</v>
      </c>
      <c r="J780" t="s">
        <v>200</v>
      </c>
      <c r="K780" t="s">
        <v>201</v>
      </c>
      <c r="R780" t="str">
        <f>"КАЗАХСТАН, АКМОЛИНСКАЯ, СТЕПНОГОРСК, Бестобе, 92"</f>
        <v>КАЗАХСТАН, АКМОЛИНСКАЯ, СТЕПНОГОРСК, Бестобе, 92</v>
      </c>
      <c r="S780" t="str">
        <f>"ҚАЗАҚСТАН, АҚМОЛА, СТЕПНОГОР, Бестобе, 92"</f>
        <v>ҚАЗАҚСТАН, АҚМОЛА, СТЕПНОГОР, Бестобе, 92</v>
      </c>
      <c r="T780" t="str">
        <f>"Бестобе, 92"</f>
        <v>Бестобе, 92</v>
      </c>
      <c r="U780" t="str">
        <f>"Бестобе, 92"</f>
        <v>Бестобе, 92</v>
      </c>
      <c r="AC780" t="str">
        <f>"2023-06-30T00:00:00"</f>
        <v>2023-06-30T00:00:00</v>
      </c>
      <c r="AD780" t="str">
        <f>"37/1"</f>
        <v>37/1</v>
      </c>
      <c r="AG780" t="s">
        <v>202</v>
      </c>
      <c r="AI780" t="s">
        <v>274</v>
      </c>
      <c r="AJ780" t="s">
        <v>419</v>
      </c>
      <c r="AK780" t="s">
        <v>434</v>
      </c>
      <c r="AL780" t="s">
        <v>206</v>
      </c>
      <c r="AN780" t="s">
        <v>254</v>
      </c>
      <c r="AO780">
        <v>1</v>
      </c>
      <c r="AP780" t="s">
        <v>208</v>
      </c>
      <c r="AQ780" t="s">
        <v>209</v>
      </c>
      <c r="AR780" t="s">
        <v>210</v>
      </c>
      <c r="AV780" t="str">
        <f>"2023-09-29T22:23:35"</f>
        <v>2023-09-29T22:23:35</v>
      </c>
      <c r="AW780" t="s">
        <v>206</v>
      </c>
      <c r="AX780" t="s">
        <v>211</v>
      </c>
      <c r="AZ780" t="s">
        <v>209</v>
      </c>
      <c r="BI780" t="s">
        <v>212</v>
      </c>
      <c r="BJ780" t="s">
        <v>213</v>
      </c>
      <c r="BK780" t="s">
        <v>214</v>
      </c>
      <c r="BL780" t="s">
        <v>215</v>
      </c>
      <c r="BN780" t="s">
        <v>247</v>
      </c>
      <c r="BO780" t="s">
        <v>209</v>
      </c>
      <c r="BP780" t="s">
        <v>241</v>
      </c>
      <c r="BQ780">
        <v>3</v>
      </c>
      <c r="BS780" t="s">
        <v>219</v>
      </c>
      <c r="BT780" t="s">
        <v>220</v>
      </c>
      <c r="BU780" t="s">
        <v>206</v>
      </c>
      <c r="CA780" t="s">
        <v>287</v>
      </c>
      <c r="CC780" t="s">
        <v>209</v>
      </c>
      <c r="CE780" t="s">
        <v>242</v>
      </c>
      <c r="CJ780" t="s">
        <v>206</v>
      </c>
      <c r="CK780" t="s">
        <v>230</v>
      </c>
      <c r="CL780" t="s">
        <v>231</v>
      </c>
      <c r="CM780" t="s">
        <v>232</v>
      </c>
      <c r="CN780" t="s">
        <v>233</v>
      </c>
      <c r="CP780" t="s">
        <v>212</v>
      </c>
      <c r="CQ780" t="s">
        <v>212</v>
      </c>
      <c r="CR780" t="s">
        <v>212</v>
      </c>
      <c r="CS780" t="s">
        <v>212</v>
      </c>
      <c r="CY780" t="s">
        <v>212</v>
      </c>
      <c r="DB780" t="s">
        <v>234</v>
      </c>
      <c r="DE780" t="s">
        <v>212</v>
      </c>
      <c r="DF780" t="s">
        <v>212</v>
      </c>
      <c r="DG780" t="s">
        <v>235</v>
      </c>
      <c r="DH780" t="s">
        <v>212</v>
      </c>
      <c r="DJ780" t="s">
        <v>236</v>
      </c>
      <c r="DM780" t="s">
        <v>212</v>
      </c>
    </row>
    <row r="781" spans="1:184" x14ac:dyDescent="0.3">
      <c r="A781">
        <v>24933754</v>
      </c>
      <c r="B781">
        <v>9607477</v>
      </c>
      <c r="C781" t="str">
        <f>"151114502557"</f>
        <v>151114502557</v>
      </c>
      <c r="D781" t="s">
        <v>1972</v>
      </c>
      <c r="E781" t="s">
        <v>1744</v>
      </c>
      <c r="F781" t="s">
        <v>558</v>
      </c>
      <c r="G781" s="1">
        <v>42322</v>
      </c>
      <c r="I781" t="s">
        <v>240</v>
      </c>
      <c r="J781" t="s">
        <v>200</v>
      </c>
      <c r="K781" t="s">
        <v>260</v>
      </c>
      <c r="R781" t="str">
        <f>"КАЗАХСТАН, АКМОЛИНСКАЯ, СТЕПНОГОРСК, 32, 36"</f>
        <v>КАЗАХСТАН, АКМОЛИНСКАЯ, СТЕПНОГОРСК, 32, 36</v>
      </c>
      <c r="S781" t="str">
        <f>"ҚАЗАҚСТАН, АҚМОЛА, СТЕПНОГОР, 32, 36"</f>
        <v>ҚАЗАҚСТАН, АҚМОЛА, СТЕПНОГОР, 32, 36</v>
      </c>
      <c r="T781" t="str">
        <f>"32, 36"</f>
        <v>32, 36</v>
      </c>
      <c r="U781" t="str">
        <f>"32, 36"</f>
        <v>32, 36</v>
      </c>
      <c r="AC781" t="str">
        <f>"2023-06-15T00:00:00"</f>
        <v>2023-06-15T00:00:00</v>
      </c>
      <c r="AD781" t="str">
        <f>"30/1"</f>
        <v>30/1</v>
      </c>
      <c r="AG781" t="s">
        <v>202</v>
      </c>
      <c r="AI781" t="s">
        <v>299</v>
      </c>
      <c r="AJ781" t="s">
        <v>570</v>
      </c>
      <c r="AK781" t="s">
        <v>261</v>
      </c>
      <c r="AL781" t="s">
        <v>206</v>
      </c>
      <c r="AN781" t="s">
        <v>207</v>
      </c>
      <c r="AO781">
        <v>2</v>
      </c>
      <c r="AP781" t="s">
        <v>208</v>
      </c>
      <c r="AQ781" t="s">
        <v>209</v>
      </c>
      <c r="AR781" t="s">
        <v>502</v>
      </c>
      <c r="AW781" t="s">
        <v>212</v>
      </c>
      <c r="AZ781" t="s">
        <v>209</v>
      </c>
      <c r="BI781" t="s">
        <v>212</v>
      </c>
      <c r="BJ781" t="s">
        <v>213</v>
      </c>
      <c r="BK781" t="s">
        <v>214</v>
      </c>
      <c r="BL781" t="s">
        <v>357</v>
      </c>
      <c r="BN781" t="s">
        <v>247</v>
      </c>
      <c r="BO781" t="s">
        <v>209</v>
      </c>
      <c r="BP781" t="s">
        <v>241</v>
      </c>
      <c r="BQ781">
        <v>4</v>
      </c>
      <c r="BS781" t="s">
        <v>220</v>
      </c>
      <c r="BU781" t="s">
        <v>212</v>
      </c>
      <c r="BZ781" t="s">
        <v>571</v>
      </c>
      <c r="CA781" t="s">
        <v>287</v>
      </c>
      <c r="CC781" t="s">
        <v>301</v>
      </c>
      <c r="CD781" t="s">
        <v>223</v>
      </c>
      <c r="CE781" t="s">
        <v>242</v>
      </c>
      <c r="CJ781" t="s">
        <v>206</v>
      </c>
      <c r="CK781" t="s">
        <v>230</v>
      </c>
      <c r="CL781" t="s">
        <v>231</v>
      </c>
      <c r="CM781" t="s">
        <v>232</v>
      </c>
      <c r="CN781" t="s">
        <v>233</v>
      </c>
      <c r="CP781" t="s">
        <v>212</v>
      </c>
      <c r="CQ781" t="s">
        <v>212</v>
      </c>
      <c r="CR781" t="s">
        <v>212</v>
      </c>
      <c r="CS781" t="s">
        <v>212</v>
      </c>
      <c r="CY781" t="s">
        <v>212</v>
      </c>
      <c r="DB781" t="s">
        <v>234</v>
      </c>
      <c r="DE781" t="s">
        <v>212</v>
      </c>
      <c r="DF781" t="s">
        <v>212</v>
      </c>
      <c r="DG781" t="s">
        <v>235</v>
      </c>
      <c r="DH781" t="s">
        <v>212</v>
      </c>
      <c r="DJ781" t="s">
        <v>236</v>
      </c>
      <c r="DM781" t="s">
        <v>212</v>
      </c>
    </row>
    <row r="782" spans="1:184" x14ac:dyDescent="0.3">
      <c r="A782">
        <v>24975962</v>
      </c>
      <c r="B782">
        <v>8934665</v>
      </c>
      <c r="C782" t="str">
        <f>"161009600151"</f>
        <v>161009600151</v>
      </c>
      <c r="D782" t="s">
        <v>910</v>
      </c>
      <c r="E782" t="s">
        <v>1973</v>
      </c>
      <c r="F782" t="s">
        <v>1974</v>
      </c>
      <c r="G782" s="1">
        <v>42652</v>
      </c>
      <c r="I782" t="s">
        <v>199</v>
      </c>
      <c r="J782" t="s">
        <v>200</v>
      </c>
      <c r="K782" t="s">
        <v>201</v>
      </c>
      <c r="Q782" t="s">
        <v>212</v>
      </c>
      <c r="R782" t="str">
        <f>"КАЗАХСТАН, АКМОЛИНСКАЯ, СТЕПНОГОРСК, 35, 58"</f>
        <v>КАЗАХСТАН, АКМОЛИНСКАЯ, СТЕПНОГОРСК, 35, 58</v>
      </c>
      <c r="S782" t="str">
        <f>"ҚАЗАҚСТАН, АҚМОЛА, СТЕПНОГОР, 35, 58"</f>
        <v>ҚАЗАҚСТАН, АҚМОЛА, СТЕПНОГОР, 35, 58</v>
      </c>
      <c r="T782" t="str">
        <f>"35, 58"</f>
        <v>35, 58</v>
      </c>
      <c r="U782" t="str">
        <f>"35, 58"</f>
        <v>35, 58</v>
      </c>
      <c r="AC782" t="str">
        <f>"2023-08-25T00:00:00"</f>
        <v>2023-08-25T00:00:00</v>
      </c>
      <c r="AD782" t="str">
        <f>"201"</f>
        <v>201</v>
      </c>
      <c r="AG782" t="s">
        <v>202</v>
      </c>
      <c r="AI782" t="s">
        <v>299</v>
      </c>
      <c r="AJ782" t="s">
        <v>660</v>
      </c>
      <c r="AK782" t="s">
        <v>253</v>
      </c>
      <c r="AL782" t="s">
        <v>206</v>
      </c>
      <c r="AN782" t="s">
        <v>254</v>
      </c>
      <c r="AO782">
        <v>1</v>
      </c>
      <c r="AP782" t="s">
        <v>208</v>
      </c>
      <c r="AQ782" t="s">
        <v>209</v>
      </c>
      <c r="AR782" t="s">
        <v>502</v>
      </c>
      <c r="AW782" t="s">
        <v>212</v>
      </c>
      <c r="AZ782" t="s">
        <v>209</v>
      </c>
      <c r="BI782" t="s">
        <v>212</v>
      </c>
      <c r="BJ782" t="s">
        <v>213</v>
      </c>
      <c r="BK782" t="s">
        <v>214</v>
      </c>
      <c r="BL782" t="s">
        <v>357</v>
      </c>
      <c r="BN782" t="s">
        <v>661</v>
      </c>
      <c r="BO782" t="s">
        <v>209</v>
      </c>
      <c r="BS782" t="s">
        <v>220</v>
      </c>
      <c r="BU782" t="s">
        <v>212</v>
      </c>
      <c r="BZ782" t="s">
        <v>662</v>
      </c>
      <c r="CA782" t="s">
        <v>287</v>
      </c>
      <c r="CC782" t="s">
        <v>209</v>
      </c>
      <c r="CE782" t="s">
        <v>242</v>
      </c>
      <c r="CJ782" t="s">
        <v>206</v>
      </c>
      <c r="CK782" t="s">
        <v>230</v>
      </c>
      <c r="CL782" t="s">
        <v>231</v>
      </c>
      <c r="CM782" t="s">
        <v>232</v>
      </c>
      <c r="CN782" t="s">
        <v>233</v>
      </c>
      <c r="CP782" t="s">
        <v>212</v>
      </c>
      <c r="CQ782" t="s">
        <v>212</v>
      </c>
      <c r="CR782" t="s">
        <v>212</v>
      </c>
      <c r="CS782" t="s">
        <v>212</v>
      </c>
      <c r="CY782" t="s">
        <v>212</v>
      </c>
      <c r="DB782" t="s">
        <v>234</v>
      </c>
      <c r="DE782" t="s">
        <v>212</v>
      </c>
      <c r="DF782" t="s">
        <v>212</v>
      </c>
      <c r="DG782" t="s">
        <v>235</v>
      </c>
      <c r="DH782" t="s">
        <v>212</v>
      </c>
      <c r="DJ782" t="s">
        <v>236</v>
      </c>
      <c r="DM782" t="s">
        <v>212</v>
      </c>
      <c r="GB782" t="s">
        <v>206</v>
      </c>
    </row>
    <row r="783" spans="1:184" x14ac:dyDescent="0.3">
      <c r="A783">
        <v>24976862</v>
      </c>
      <c r="B783">
        <v>11217515</v>
      </c>
      <c r="C783" t="str">
        <f>"160626604750"</f>
        <v>160626604750</v>
      </c>
      <c r="D783" t="s">
        <v>1975</v>
      </c>
      <c r="E783" t="s">
        <v>1294</v>
      </c>
      <c r="F783" t="s">
        <v>1569</v>
      </c>
      <c r="G783" s="1">
        <v>42547</v>
      </c>
      <c r="I783" t="s">
        <v>199</v>
      </c>
      <c r="J783" t="s">
        <v>200</v>
      </c>
      <c r="K783" t="s">
        <v>201</v>
      </c>
      <c r="Q783" t="s">
        <v>212</v>
      </c>
      <c r="R783" t="str">
        <f>"КАЗАХСТАН, АКМОЛИНСКАЯ, СТЕПНОГОРСК, -, 23, 38"</f>
        <v>КАЗАХСТАН, АКМОЛИНСКАЯ, СТЕПНОГОРСК, -, 23, 38</v>
      </c>
      <c r="S783" t="str">
        <f>"ҚАЗАҚСТАН, АҚМОЛА, СТЕПНОГОР, -, 23, 38"</f>
        <v>ҚАЗАҚСТАН, АҚМОЛА, СТЕПНОГОР, -, 23, 38</v>
      </c>
      <c r="T783" t="str">
        <f>"-, 23, 38"</f>
        <v>-, 23, 38</v>
      </c>
      <c r="U783" t="str">
        <f>"-, 23, 38"</f>
        <v>-, 23, 38</v>
      </c>
      <c r="AC783" t="str">
        <f>"2023-08-25T00:00:00"</f>
        <v>2023-08-25T00:00:00</v>
      </c>
      <c r="AD783" t="str">
        <f>"201"</f>
        <v>201</v>
      </c>
      <c r="AG783" t="s">
        <v>202</v>
      </c>
      <c r="AI783" t="s">
        <v>299</v>
      </c>
      <c r="AJ783" t="s">
        <v>660</v>
      </c>
      <c r="AK783" t="s">
        <v>246</v>
      </c>
      <c r="AL783" t="s">
        <v>206</v>
      </c>
      <c r="AN783" t="s">
        <v>207</v>
      </c>
      <c r="AO783">
        <v>1</v>
      </c>
      <c r="AP783" t="s">
        <v>208</v>
      </c>
      <c r="AQ783" t="s">
        <v>209</v>
      </c>
      <c r="AR783" t="s">
        <v>502</v>
      </c>
      <c r="AW783" t="s">
        <v>212</v>
      </c>
      <c r="AZ783" t="s">
        <v>209</v>
      </c>
      <c r="BI783" t="s">
        <v>212</v>
      </c>
      <c r="BJ783" t="s">
        <v>213</v>
      </c>
      <c r="BK783" t="s">
        <v>214</v>
      </c>
      <c r="BL783" t="s">
        <v>357</v>
      </c>
      <c r="BN783" t="s">
        <v>661</v>
      </c>
      <c r="BO783" t="s">
        <v>209</v>
      </c>
      <c r="BS783" t="s">
        <v>220</v>
      </c>
      <c r="BU783" t="s">
        <v>212</v>
      </c>
      <c r="BZ783" t="s">
        <v>662</v>
      </c>
      <c r="CA783" t="s">
        <v>287</v>
      </c>
      <c r="CC783" t="s">
        <v>209</v>
      </c>
      <c r="CE783" t="s">
        <v>242</v>
      </c>
      <c r="CJ783" t="s">
        <v>206</v>
      </c>
      <c r="CK783" t="s">
        <v>230</v>
      </c>
      <c r="CL783" t="s">
        <v>231</v>
      </c>
      <c r="CM783" t="s">
        <v>232</v>
      </c>
      <c r="CN783" t="s">
        <v>233</v>
      </c>
      <c r="CP783" t="s">
        <v>212</v>
      </c>
      <c r="CQ783" t="s">
        <v>212</v>
      </c>
      <c r="CR783" t="s">
        <v>212</v>
      </c>
      <c r="CS783" t="s">
        <v>212</v>
      </c>
      <c r="CY783" t="s">
        <v>212</v>
      </c>
      <c r="DB783" t="s">
        <v>234</v>
      </c>
      <c r="DE783" t="s">
        <v>212</v>
      </c>
      <c r="DF783" t="s">
        <v>212</v>
      </c>
      <c r="DG783" t="s">
        <v>235</v>
      </c>
      <c r="DH783" t="s">
        <v>212</v>
      </c>
      <c r="DJ783" t="s">
        <v>236</v>
      </c>
      <c r="DM783" t="s">
        <v>212</v>
      </c>
      <c r="GB783" t="s">
        <v>206</v>
      </c>
    </row>
    <row r="784" spans="1:184" x14ac:dyDescent="0.3">
      <c r="A784">
        <v>25012292</v>
      </c>
      <c r="B784">
        <v>13191974</v>
      </c>
      <c r="C784" t="str">
        <f>"170103602574"</f>
        <v>170103602574</v>
      </c>
      <c r="D784" t="s">
        <v>1451</v>
      </c>
      <c r="E784" t="s">
        <v>1976</v>
      </c>
      <c r="F784" t="s">
        <v>1009</v>
      </c>
      <c r="G784" s="1">
        <v>42738</v>
      </c>
      <c r="I784" t="s">
        <v>199</v>
      </c>
      <c r="J784" t="s">
        <v>200</v>
      </c>
      <c r="K784" t="s">
        <v>1184</v>
      </c>
      <c r="Q784" t="s">
        <v>212</v>
      </c>
      <c r="R784" t="str">
        <f>"КАЗАХСТАН, НУР-СУЛТАН, АЛМАТЫ РАЙОН, -, 2, 1"</f>
        <v>КАЗАХСТАН, НУР-СУЛТАН, АЛМАТЫ РАЙОН, -, 2, 1</v>
      </c>
      <c r="S784" t="str">
        <f>"ҚАЗАҚСТАН, НҰР-СҰЛТАН, АЛМАТЫ АУДАНЫ, -, 2, 1"</f>
        <v>ҚАЗАҚСТАН, НҰР-СҰЛТАН, АЛМАТЫ АУДАНЫ, -, 2, 1</v>
      </c>
      <c r="T784" t="str">
        <f>"-, 2, 1"</f>
        <v>-, 2, 1</v>
      </c>
      <c r="U784" t="str">
        <f>"-, 2, 1"</f>
        <v>-, 2, 1</v>
      </c>
      <c r="AC784" t="str">
        <f>"2023-08-25T00:00:00"</f>
        <v>2023-08-25T00:00:00</v>
      </c>
      <c r="AD784" t="str">
        <f>"201"</f>
        <v>201</v>
      </c>
      <c r="AE784" t="str">
        <f>"2023-09-01T09:30:49"</f>
        <v>2023-09-01T09:30:49</v>
      </c>
      <c r="AF784" t="str">
        <f>"2024-05-25T09:30:49"</f>
        <v>2024-05-25T09:30:49</v>
      </c>
      <c r="AG784" t="s">
        <v>202</v>
      </c>
      <c r="AI784" t="s">
        <v>299</v>
      </c>
      <c r="AJ784" t="s">
        <v>660</v>
      </c>
      <c r="AK784" t="s">
        <v>261</v>
      </c>
      <c r="AL784" t="s">
        <v>206</v>
      </c>
      <c r="AN784" t="s">
        <v>207</v>
      </c>
      <c r="AO784">
        <v>1</v>
      </c>
      <c r="AP784" t="s">
        <v>208</v>
      </c>
      <c r="AQ784" t="s">
        <v>209</v>
      </c>
      <c r="AR784" t="s">
        <v>502</v>
      </c>
      <c r="AW784" t="s">
        <v>212</v>
      </c>
      <c r="AZ784" t="s">
        <v>209</v>
      </c>
      <c r="BI784" t="s">
        <v>212</v>
      </c>
      <c r="BJ784" t="s">
        <v>213</v>
      </c>
      <c r="BK784" t="s">
        <v>214</v>
      </c>
      <c r="BL784" t="s">
        <v>357</v>
      </c>
      <c r="BN784" t="s">
        <v>661</v>
      </c>
      <c r="BO784" t="s">
        <v>209</v>
      </c>
      <c r="BS784" t="s">
        <v>220</v>
      </c>
      <c r="BU784" t="s">
        <v>212</v>
      </c>
      <c r="BX784" t="s">
        <v>234</v>
      </c>
      <c r="BY784" t="s">
        <v>234</v>
      </c>
      <c r="BZ784" t="s">
        <v>662</v>
      </c>
      <c r="CA784" t="s">
        <v>287</v>
      </c>
      <c r="CC784" t="s">
        <v>209</v>
      </c>
      <c r="CE784" t="s">
        <v>242</v>
      </c>
      <c r="CJ784" t="s">
        <v>206</v>
      </c>
      <c r="CK784" t="s">
        <v>230</v>
      </c>
      <c r="CL784" t="s">
        <v>231</v>
      </c>
      <c r="CM784" t="s">
        <v>232</v>
      </c>
      <c r="CN784" t="s">
        <v>233</v>
      </c>
      <c r="CP784" t="s">
        <v>212</v>
      </c>
      <c r="CQ784" t="s">
        <v>212</v>
      </c>
      <c r="CR784" t="s">
        <v>212</v>
      </c>
      <c r="CS784" t="s">
        <v>212</v>
      </c>
      <c r="CY784" t="s">
        <v>212</v>
      </c>
      <c r="DB784" t="s">
        <v>234</v>
      </c>
      <c r="DE784" t="s">
        <v>212</v>
      </c>
      <c r="DF784" t="s">
        <v>212</v>
      </c>
      <c r="DG784" t="s">
        <v>235</v>
      </c>
      <c r="DH784" t="s">
        <v>212</v>
      </c>
      <c r="DJ784" t="s">
        <v>236</v>
      </c>
      <c r="DM784" t="s">
        <v>212</v>
      </c>
      <c r="GB784" t="s">
        <v>206</v>
      </c>
    </row>
    <row r="785" spans="1:184" x14ac:dyDescent="0.3">
      <c r="A785">
        <v>25128784</v>
      </c>
      <c r="B785">
        <v>9688158</v>
      </c>
      <c r="C785" t="str">
        <f>"170706501230"</f>
        <v>170706501230</v>
      </c>
      <c r="D785" t="s">
        <v>1407</v>
      </c>
      <c r="E785" t="s">
        <v>1458</v>
      </c>
      <c r="F785" t="s">
        <v>1409</v>
      </c>
      <c r="G785" s="1">
        <v>42922</v>
      </c>
      <c r="I785" t="s">
        <v>240</v>
      </c>
      <c r="J785" t="s">
        <v>200</v>
      </c>
      <c r="K785" t="s">
        <v>201</v>
      </c>
      <c r="Q785" t="s">
        <v>212</v>
      </c>
      <c r="R785" t="str">
        <f>"КАЗАХСТАН, АКМОЛИНСКАЯ, СТЕПНОГОРСК, -, 33, 21"</f>
        <v>КАЗАХСТАН, АКМОЛИНСКАЯ, СТЕПНОГОРСК, -, 33, 21</v>
      </c>
      <c r="S785" t="str">
        <f>"ҚАЗАҚСТАН, АҚМОЛА, СТЕПНОГОР, -, 33, 21"</f>
        <v>ҚАЗАҚСТАН, АҚМОЛА, СТЕПНОГОР, -, 33, 21</v>
      </c>
      <c r="T785" t="str">
        <f>"-, 33, 21"</f>
        <v>-, 33, 21</v>
      </c>
      <c r="U785" t="str">
        <f>"-, 33, 21"</f>
        <v>-, 33, 21</v>
      </c>
      <c r="AC785" t="str">
        <f>"2023-08-25T00:00:00"</f>
        <v>2023-08-25T00:00:00</v>
      </c>
      <c r="AD785" t="str">
        <f>"201"</f>
        <v>201</v>
      </c>
      <c r="AE785" t="str">
        <f>"2023-09-01T17:22:34"</f>
        <v>2023-09-01T17:22:34</v>
      </c>
      <c r="AF785" t="str">
        <f>"2024-05-25T17:22:34"</f>
        <v>2024-05-25T17:22:34</v>
      </c>
      <c r="AG785" t="s">
        <v>202</v>
      </c>
      <c r="AI785" t="s">
        <v>274</v>
      </c>
      <c r="AJ785" t="s">
        <v>660</v>
      </c>
      <c r="AK785" t="s">
        <v>253</v>
      </c>
      <c r="AL785" t="s">
        <v>206</v>
      </c>
      <c r="AN785" t="s">
        <v>254</v>
      </c>
      <c r="AO785">
        <v>1</v>
      </c>
      <c r="AP785" t="s">
        <v>208</v>
      </c>
      <c r="AQ785" t="s">
        <v>209</v>
      </c>
      <c r="AR785" t="s">
        <v>502</v>
      </c>
      <c r="AW785" t="s">
        <v>212</v>
      </c>
      <c r="AZ785" t="s">
        <v>209</v>
      </c>
      <c r="BI785" t="s">
        <v>212</v>
      </c>
      <c r="BJ785" t="s">
        <v>213</v>
      </c>
      <c r="BK785" t="s">
        <v>214</v>
      </c>
      <c r="BL785" t="s">
        <v>357</v>
      </c>
      <c r="BN785" t="s">
        <v>661</v>
      </c>
      <c r="BO785" t="s">
        <v>209</v>
      </c>
      <c r="BS785" t="s">
        <v>220</v>
      </c>
      <c r="BU785" t="s">
        <v>212</v>
      </c>
      <c r="BZ785" t="s">
        <v>662</v>
      </c>
      <c r="CA785" t="s">
        <v>287</v>
      </c>
      <c r="CC785" t="s">
        <v>301</v>
      </c>
      <c r="CD785" t="s">
        <v>349</v>
      </c>
      <c r="CE785" t="s">
        <v>242</v>
      </c>
      <c r="CJ785" t="s">
        <v>206</v>
      </c>
      <c r="CK785" t="s">
        <v>230</v>
      </c>
      <c r="CL785" t="s">
        <v>231</v>
      </c>
      <c r="CM785" t="s">
        <v>232</v>
      </c>
      <c r="CN785" t="s">
        <v>233</v>
      </c>
      <c r="CP785" t="s">
        <v>212</v>
      </c>
      <c r="CQ785" t="s">
        <v>212</v>
      </c>
      <c r="CR785" t="s">
        <v>212</v>
      </c>
      <c r="CS785" t="s">
        <v>212</v>
      </c>
      <c r="CY785" t="s">
        <v>212</v>
      </c>
      <c r="DB785" t="s">
        <v>653</v>
      </c>
      <c r="DC785" t="str">
        <f>"№1911 Общее недоразвитие речи 3 уровня."</f>
        <v>№1911 Общее недоразвитие речи 3 уровня.</v>
      </c>
      <c r="DD785" t="str">
        <f>"2023-12-26T00:00:00"</f>
        <v>2023-12-26T00:00:00</v>
      </c>
      <c r="DE785" t="s">
        <v>212</v>
      </c>
      <c r="DF785" t="s">
        <v>206</v>
      </c>
      <c r="DG785" t="s">
        <v>235</v>
      </c>
      <c r="DH785" t="s">
        <v>212</v>
      </c>
      <c r="DJ785" t="s">
        <v>236</v>
      </c>
      <c r="DM785" t="s">
        <v>212</v>
      </c>
      <c r="GB785" t="s">
        <v>206</v>
      </c>
    </row>
    <row r="786" spans="1:184" x14ac:dyDescent="0.3">
      <c r="A786">
        <v>25154055</v>
      </c>
      <c r="B786">
        <v>9071156</v>
      </c>
      <c r="C786" t="str">
        <f>"120126601235"</f>
        <v>120126601235</v>
      </c>
      <c r="D786" t="s">
        <v>536</v>
      </c>
      <c r="E786" t="s">
        <v>1562</v>
      </c>
      <c r="F786" t="s">
        <v>368</v>
      </c>
      <c r="G786" s="1">
        <v>40934</v>
      </c>
      <c r="I786" t="s">
        <v>199</v>
      </c>
      <c r="J786" t="s">
        <v>200</v>
      </c>
      <c r="K786" t="s">
        <v>201</v>
      </c>
      <c r="Q786" t="s">
        <v>212</v>
      </c>
      <c r="R786" t="str">
        <f>"КАЗАХСТАН, АКМОЛИНСКАЯ, СТЕПНОГОРСК, 6"</f>
        <v>КАЗАХСТАН, АКМОЛИНСКАЯ, СТЕПНОГОРСК, 6</v>
      </c>
      <c r="S786" t="str">
        <f>"ҚАЗАҚСТАН, АҚМОЛА, СТЕПНОГОР, 6"</f>
        <v>ҚАЗАҚСТАН, АҚМОЛА, СТЕПНОГОР, 6</v>
      </c>
      <c r="T786" t="str">
        <f>"6"</f>
        <v>6</v>
      </c>
      <c r="U786" t="str">
        <f>"6"</f>
        <v>6</v>
      </c>
      <c r="AC786" t="str">
        <f>"2023-06-19T00:00:00"</f>
        <v>2023-06-19T00:00:00</v>
      </c>
      <c r="AD786" t="str">
        <f>"31/1"</f>
        <v>31/1</v>
      </c>
      <c r="AG786" t="s">
        <v>333</v>
      </c>
      <c r="AI786" t="s">
        <v>269</v>
      </c>
      <c r="AJ786" t="s">
        <v>501</v>
      </c>
      <c r="AK786" t="s">
        <v>205</v>
      </c>
      <c r="AL786" t="s">
        <v>206</v>
      </c>
      <c r="AN786" t="s">
        <v>207</v>
      </c>
      <c r="AO786">
        <v>1</v>
      </c>
      <c r="AP786" t="s">
        <v>208</v>
      </c>
      <c r="AQ786" t="s">
        <v>209</v>
      </c>
      <c r="AR786" t="s">
        <v>502</v>
      </c>
      <c r="AW786" t="s">
        <v>212</v>
      </c>
      <c r="AZ786" t="s">
        <v>209</v>
      </c>
      <c r="BI786" t="s">
        <v>212</v>
      </c>
      <c r="BJ786" t="s">
        <v>213</v>
      </c>
      <c r="BK786" t="s">
        <v>214</v>
      </c>
      <c r="BL786" t="s">
        <v>357</v>
      </c>
      <c r="BN786" t="s">
        <v>247</v>
      </c>
      <c r="BO786" t="s">
        <v>209</v>
      </c>
      <c r="BP786" t="s">
        <v>415</v>
      </c>
      <c r="BQ786" t="s">
        <v>416</v>
      </c>
      <c r="BS786" t="s">
        <v>219</v>
      </c>
      <c r="BT786" t="s">
        <v>220</v>
      </c>
      <c r="BU786" t="s">
        <v>206</v>
      </c>
      <c r="BZ786" t="s">
        <v>503</v>
      </c>
      <c r="CA786" t="s">
        <v>287</v>
      </c>
      <c r="CC786" t="s">
        <v>209</v>
      </c>
      <c r="CE786" t="s">
        <v>242</v>
      </c>
      <c r="CJ786" t="s">
        <v>206</v>
      </c>
      <c r="CK786" t="s">
        <v>230</v>
      </c>
      <c r="CL786" t="s">
        <v>231</v>
      </c>
      <c r="CM786" t="s">
        <v>232</v>
      </c>
      <c r="CN786" t="s">
        <v>233</v>
      </c>
      <c r="CP786" t="s">
        <v>212</v>
      </c>
      <c r="CQ786" t="s">
        <v>212</v>
      </c>
      <c r="CR786" t="s">
        <v>212</v>
      </c>
      <c r="CS786" t="s">
        <v>212</v>
      </c>
      <c r="CY786" t="s">
        <v>212</v>
      </c>
      <c r="DB786" t="s">
        <v>683</v>
      </c>
      <c r="DC786" t="str">
        <f>"№407  Задержка психического развития"</f>
        <v>№407  Задержка психического развития</v>
      </c>
      <c r="DD786" t="str">
        <f>"2023-05-03T00:00:00"</f>
        <v>2023-05-03T00:00:00</v>
      </c>
      <c r="DE786" t="s">
        <v>212</v>
      </c>
      <c r="DF786" t="s">
        <v>212</v>
      </c>
      <c r="DG786" t="s">
        <v>235</v>
      </c>
      <c r="DH786" t="s">
        <v>212</v>
      </c>
      <c r="DJ786" t="s">
        <v>421</v>
      </c>
      <c r="DK786" t="s">
        <v>707</v>
      </c>
      <c r="DL786" t="s">
        <v>423</v>
      </c>
      <c r="DM786" t="s">
        <v>206</v>
      </c>
    </row>
    <row r="787" spans="1:184" x14ac:dyDescent="0.3">
      <c r="A787">
        <v>25202949</v>
      </c>
      <c r="B787">
        <v>8830332</v>
      </c>
      <c r="C787" t="str">
        <f>"120814506140"</f>
        <v>120814506140</v>
      </c>
      <c r="D787" t="s">
        <v>1977</v>
      </c>
      <c r="E787" t="s">
        <v>1978</v>
      </c>
      <c r="F787" t="s">
        <v>723</v>
      </c>
      <c r="G787" s="1">
        <v>41135</v>
      </c>
      <c r="I787" t="s">
        <v>240</v>
      </c>
      <c r="J787" t="s">
        <v>200</v>
      </c>
      <c r="K787" t="s">
        <v>201</v>
      </c>
      <c r="R787" t="str">
        <f>"КАЗАХСТАН, АКМОЛИНСКАЯ, СТЕПНОГОРСК, Бестобе, 29, 1"</f>
        <v>КАЗАХСТАН, АКМОЛИНСКАЯ, СТЕПНОГОРСК, Бестобе, 29, 1</v>
      </c>
      <c r="S787" t="str">
        <f>"ҚАЗАҚСТАН, АҚМОЛА, СТЕПНОГОР, Бестобе, 29, 1"</f>
        <v>ҚАЗАҚСТАН, АҚМОЛА, СТЕПНОГОР, Бестобе, 29, 1</v>
      </c>
      <c r="T787" t="str">
        <f>"Бестобе, 29, 1"</f>
        <v>Бестобе, 29, 1</v>
      </c>
      <c r="U787" t="str">
        <f>"Бестобе, 29, 1"</f>
        <v>Бестобе, 29, 1</v>
      </c>
      <c r="AC787" t="str">
        <f>"2023-08-04T00:00:00"</f>
        <v>2023-08-04T00:00:00</v>
      </c>
      <c r="AD787" t="str">
        <f>"47/2"</f>
        <v>47/2</v>
      </c>
      <c r="AG787" t="s">
        <v>333</v>
      </c>
      <c r="AI787" t="s">
        <v>274</v>
      </c>
      <c r="AJ787" t="s">
        <v>419</v>
      </c>
      <c r="AK787" t="s">
        <v>434</v>
      </c>
      <c r="AL787" t="s">
        <v>206</v>
      </c>
      <c r="AN787" t="s">
        <v>254</v>
      </c>
      <c r="AO787">
        <v>1</v>
      </c>
      <c r="AP787" t="s">
        <v>208</v>
      </c>
      <c r="AQ787" t="s">
        <v>209</v>
      </c>
      <c r="AR787" t="s">
        <v>502</v>
      </c>
      <c r="AW787" t="s">
        <v>212</v>
      </c>
      <c r="AZ787" t="s">
        <v>209</v>
      </c>
      <c r="BI787" t="s">
        <v>212</v>
      </c>
      <c r="BJ787" t="s">
        <v>213</v>
      </c>
      <c r="BK787" t="s">
        <v>214</v>
      </c>
      <c r="BL787" t="s">
        <v>215</v>
      </c>
      <c r="BN787" t="s">
        <v>247</v>
      </c>
      <c r="BO787" t="s">
        <v>209</v>
      </c>
      <c r="BP787" t="s">
        <v>241</v>
      </c>
      <c r="BQ787">
        <v>3</v>
      </c>
      <c r="BS787" t="s">
        <v>219</v>
      </c>
      <c r="BT787" t="s">
        <v>220</v>
      </c>
      <c r="BU787" t="s">
        <v>206</v>
      </c>
      <c r="CA787" t="s">
        <v>287</v>
      </c>
      <c r="CC787" t="s">
        <v>209</v>
      </c>
      <c r="CE787" t="s">
        <v>242</v>
      </c>
      <c r="CJ787" t="s">
        <v>206</v>
      </c>
      <c r="CK787" t="s">
        <v>230</v>
      </c>
      <c r="CL787" t="s">
        <v>231</v>
      </c>
      <c r="CM787" t="s">
        <v>232</v>
      </c>
      <c r="CN787" t="s">
        <v>233</v>
      </c>
      <c r="CP787" t="s">
        <v>212</v>
      </c>
      <c r="CQ787" t="s">
        <v>212</v>
      </c>
      <c r="CR787" t="s">
        <v>212</v>
      </c>
      <c r="CS787" t="s">
        <v>212</v>
      </c>
      <c r="CY787" t="s">
        <v>212</v>
      </c>
      <c r="DB787" t="s">
        <v>234</v>
      </c>
      <c r="DE787" t="s">
        <v>212</v>
      </c>
      <c r="DF787" t="s">
        <v>212</v>
      </c>
      <c r="DG787" t="s">
        <v>235</v>
      </c>
      <c r="DH787" t="s">
        <v>212</v>
      </c>
      <c r="DJ787" t="s">
        <v>236</v>
      </c>
      <c r="DM787" t="s">
        <v>212</v>
      </c>
    </row>
    <row r="788" spans="1:184" x14ac:dyDescent="0.3">
      <c r="A788">
        <v>25278081</v>
      </c>
      <c r="B788">
        <v>65338</v>
      </c>
      <c r="C788" t="str">
        <f>"100623654145"</f>
        <v>100623654145</v>
      </c>
      <c r="D788" t="s">
        <v>1979</v>
      </c>
      <c r="E788" t="s">
        <v>279</v>
      </c>
      <c r="F788" t="s">
        <v>305</v>
      </c>
      <c r="G788" s="1">
        <v>40352</v>
      </c>
      <c r="I788" t="s">
        <v>199</v>
      </c>
      <c r="J788" t="s">
        <v>200</v>
      </c>
      <c r="K788" t="s">
        <v>260</v>
      </c>
      <c r="R788" t="str">
        <f>"АНДОРРА, АКМОЛИНСКАЯ, ЕРЕЙМЕНТАУСКИЙ РАЙОН, Тургайский, Тургай, 4, 2"</f>
        <v>АНДОРРА, АКМОЛИНСКАЯ, ЕРЕЙМЕНТАУСКИЙ РАЙОН, Тургайский, Тургай, 4, 2</v>
      </c>
      <c r="S788" t="str">
        <f>"АНДОРРА, АҚМОЛА, ЕРЕЙМЕНТАУ АУДАНЫ, Тургайский, Тургай, 4, 2"</f>
        <v>АНДОРРА, АҚМОЛА, ЕРЕЙМЕНТАУ АУДАНЫ, Тургайский, Тургай, 4, 2</v>
      </c>
      <c r="T788" t="str">
        <f>"Тургайский, Тургай, 4, 2"</f>
        <v>Тургайский, Тургай, 4, 2</v>
      </c>
      <c r="U788" t="str">
        <f>"Тургайский, Тургай, 4, 2"</f>
        <v>Тургайский, Тургай, 4, 2</v>
      </c>
      <c r="AC788" t="str">
        <f>"2023-07-28T00:00:00"</f>
        <v>2023-07-28T00:00:00</v>
      </c>
      <c r="AD788" t="str">
        <f>"42"</f>
        <v>42</v>
      </c>
      <c r="AG788" t="s">
        <v>333</v>
      </c>
      <c r="AH788" t="str">
        <f>"Alina@mail.ru"</f>
        <v>Alina@mail.ru</v>
      </c>
      <c r="AI788" t="s">
        <v>269</v>
      </c>
      <c r="AJ788" t="s">
        <v>286</v>
      </c>
      <c r="AK788" t="s">
        <v>205</v>
      </c>
      <c r="AL788" t="s">
        <v>206</v>
      </c>
      <c r="AN788" t="s">
        <v>207</v>
      </c>
      <c r="AO788">
        <v>1</v>
      </c>
      <c r="AP788" t="s">
        <v>208</v>
      </c>
      <c r="AQ788" t="s">
        <v>209</v>
      </c>
      <c r="AR788" t="s">
        <v>502</v>
      </c>
      <c r="AW788" t="s">
        <v>212</v>
      </c>
      <c r="AZ788" t="s">
        <v>209</v>
      </c>
      <c r="BI788" t="s">
        <v>212</v>
      </c>
      <c r="BJ788" t="s">
        <v>213</v>
      </c>
      <c r="BK788" t="s">
        <v>214</v>
      </c>
      <c r="BL788" t="s">
        <v>215</v>
      </c>
      <c r="BN788" t="s">
        <v>216</v>
      </c>
      <c r="BO788" t="s">
        <v>209</v>
      </c>
      <c r="BP788" t="s">
        <v>241</v>
      </c>
      <c r="BQ788">
        <v>4</v>
      </c>
      <c r="BS788" t="s">
        <v>219</v>
      </c>
      <c r="BT788" t="s">
        <v>220</v>
      </c>
      <c r="BU788" t="s">
        <v>206</v>
      </c>
      <c r="CA788" t="s">
        <v>287</v>
      </c>
      <c r="CC788" t="s">
        <v>209</v>
      </c>
      <c r="CE788" t="s">
        <v>342</v>
      </c>
      <c r="CF788" t="s">
        <v>226</v>
      </c>
      <c r="CG788" t="s">
        <v>227</v>
      </c>
      <c r="CH788" t="s">
        <v>1019</v>
      </c>
      <c r="CI788" t="s">
        <v>1980</v>
      </c>
      <c r="CJ788" t="s">
        <v>206</v>
      </c>
      <c r="CK788" t="s">
        <v>230</v>
      </c>
      <c r="CL788" t="s">
        <v>231</v>
      </c>
      <c r="CM788" t="s">
        <v>232</v>
      </c>
      <c r="CN788" t="s">
        <v>233</v>
      </c>
      <c r="CP788" t="s">
        <v>212</v>
      </c>
      <c r="CQ788" t="s">
        <v>212</v>
      </c>
      <c r="CR788" t="s">
        <v>212</v>
      </c>
      <c r="CS788" t="s">
        <v>212</v>
      </c>
      <c r="CY788" t="s">
        <v>212</v>
      </c>
      <c r="DB788" t="s">
        <v>234</v>
      </c>
      <c r="DE788" t="s">
        <v>212</v>
      </c>
      <c r="DF788" t="s">
        <v>212</v>
      </c>
      <c r="DG788" t="s">
        <v>235</v>
      </c>
      <c r="DH788" t="s">
        <v>212</v>
      </c>
      <c r="DJ788" t="s">
        <v>236</v>
      </c>
      <c r="DM788" t="s">
        <v>212</v>
      </c>
    </row>
    <row r="789" spans="1:184" x14ac:dyDescent="0.3">
      <c r="A789">
        <v>25278148</v>
      </c>
      <c r="B789">
        <v>951991</v>
      </c>
      <c r="C789" t="str">
        <f>"150516504853"</f>
        <v>150516504853</v>
      </c>
      <c r="D789" t="s">
        <v>1979</v>
      </c>
      <c r="E789" t="s">
        <v>538</v>
      </c>
      <c r="F789" t="s">
        <v>521</v>
      </c>
      <c r="G789" s="1">
        <v>42140</v>
      </c>
      <c r="I789" t="s">
        <v>240</v>
      </c>
      <c r="J789" t="s">
        <v>200</v>
      </c>
      <c r="K789" t="s">
        <v>260</v>
      </c>
      <c r="R789" t="str">
        <f>"КАЗАХСТАН, АКМОЛИНСКАЯ, ЕРЕЙМЕНТАУСКИЙ РАЙОН, Тургайский, Тургай, 4, 2"</f>
        <v>КАЗАХСТАН, АКМОЛИНСКАЯ, ЕРЕЙМЕНТАУСКИЙ РАЙОН, Тургайский, Тургай, 4, 2</v>
      </c>
      <c r="S789" t="str">
        <f>"ҚАЗАҚСТАН, АҚМОЛА, ЕРЕЙМЕНТАУ АУДАНЫ, Тургайский, Тургай, 4, 2"</f>
        <v>ҚАЗАҚСТАН, АҚМОЛА, ЕРЕЙМЕНТАУ АУДАНЫ, Тургайский, Тургай, 4, 2</v>
      </c>
      <c r="T789" t="str">
        <f>"Тургайский, Тургай, 4, 2"</f>
        <v>Тургайский, Тургай, 4, 2</v>
      </c>
      <c r="U789" t="str">
        <f>"Тургайский, Тургай, 4, 2"</f>
        <v>Тургайский, Тургай, 4, 2</v>
      </c>
      <c r="AC789" t="str">
        <f>"2023-07-28T00:00:00"</f>
        <v>2023-07-28T00:00:00</v>
      </c>
      <c r="AD789" t="str">
        <f>"42"</f>
        <v>42</v>
      </c>
      <c r="AE789" t="str">
        <f>"2023-09-01T23:20:28"</f>
        <v>2023-09-01T23:20:28</v>
      </c>
      <c r="AF789" t="str">
        <f>"2024-05-25T23:20:28"</f>
        <v>2024-05-25T23:20:28</v>
      </c>
      <c r="AG789" t="s">
        <v>333</v>
      </c>
      <c r="AI789" t="s">
        <v>269</v>
      </c>
      <c r="AJ789" t="s">
        <v>540</v>
      </c>
      <c r="AK789" t="s">
        <v>205</v>
      </c>
      <c r="AL789" t="s">
        <v>206</v>
      </c>
      <c r="AN789" t="s">
        <v>207</v>
      </c>
      <c r="AO789">
        <v>2</v>
      </c>
      <c r="AP789" t="s">
        <v>208</v>
      </c>
      <c r="AQ789" t="s">
        <v>209</v>
      </c>
      <c r="AR789" t="s">
        <v>502</v>
      </c>
      <c r="AW789" t="s">
        <v>212</v>
      </c>
      <c r="AZ789" t="s">
        <v>209</v>
      </c>
      <c r="BI789" t="s">
        <v>212</v>
      </c>
      <c r="BJ789" t="s">
        <v>213</v>
      </c>
      <c r="BK789" t="s">
        <v>214</v>
      </c>
      <c r="BL789" t="s">
        <v>357</v>
      </c>
      <c r="BN789" t="s">
        <v>247</v>
      </c>
      <c r="BO789" t="s">
        <v>209</v>
      </c>
      <c r="BP789" t="s">
        <v>241</v>
      </c>
      <c r="BQ789">
        <v>3</v>
      </c>
      <c r="BS789" t="s">
        <v>219</v>
      </c>
      <c r="BT789" t="s">
        <v>220</v>
      </c>
      <c r="BU789" t="s">
        <v>206</v>
      </c>
      <c r="BZ789" t="s">
        <v>541</v>
      </c>
      <c r="CA789" t="s">
        <v>287</v>
      </c>
      <c r="CC789" t="s">
        <v>338</v>
      </c>
      <c r="CD789" t="s">
        <v>223</v>
      </c>
      <c r="CE789" t="s">
        <v>242</v>
      </c>
      <c r="CJ789" t="s">
        <v>206</v>
      </c>
      <c r="CK789" t="s">
        <v>230</v>
      </c>
      <c r="CL789" t="s">
        <v>231</v>
      </c>
      <c r="CM789" t="s">
        <v>232</v>
      </c>
      <c r="CN789" t="s">
        <v>233</v>
      </c>
      <c r="CP789" t="s">
        <v>212</v>
      </c>
      <c r="CQ789" t="s">
        <v>212</v>
      </c>
      <c r="CR789" t="s">
        <v>212</v>
      </c>
      <c r="CS789" t="s">
        <v>212</v>
      </c>
      <c r="CY789" t="s">
        <v>212</v>
      </c>
      <c r="DB789" t="s">
        <v>234</v>
      </c>
      <c r="DE789" t="s">
        <v>212</v>
      </c>
      <c r="DF789" t="s">
        <v>212</v>
      </c>
      <c r="DG789" t="s">
        <v>235</v>
      </c>
      <c r="DH789" t="s">
        <v>212</v>
      </c>
      <c r="DJ789" t="s">
        <v>236</v>
      </c>
      <c r="DM789" t="s">
        <v>212</v>
      </c>
    </row>
    <row r="790" spans="1:184" x14ac:dyDescent="0.3">
      <c r="A790">
        <v>25340320</v>
      </c>
      <c r="B790">
        <v>937510</v>
      </c>
      <c r="C790" t="str">
        <f>"130324503947"</f>
        <v>130324503947</v>
      </c>
      <c r="D790" t="s">
        <v>1981</v>
      </c>
      <c r="E790" t="s">
        <v>978</v>
      </c>
      <c r="F790" t="s">
        <v>239</v>
      </c>
      <c r="G790" s="1">
        <v>41357</v>
      </c>
      <c r="I790" t="s">
        <v>240</v>
      </c>
      <c r="J790" t="s">
        <v>200</v>
      </c>
      <c r="K790" t="s">
        <v>260</v>
      </c>
      <c r="Q790" t="s">
        <v>212</v>
      </c>
      <c r="R790" t="str">
        <f>"КАЗАХСТАН, АКМОЛИНСКАЯ, СТЕПНОГОРСК, Шантобе, 18, 16"</f>
        <v>КАЗАХСТАН, АКМОЛИНСКАЯ, СТЕПНОГОРСК, Шантобе, 18, 16</v>
      </c>
      <c r="S790" t="str">
        <f>"ҚАЗАҚСТАН, АҚМОЛА, СТЕПНОГОР, Шантобе, 18, 16"</f>
        <v>ҚАЗАҚСТАН, АҚМОЛА, СТЕПНОГОР, Шантобе, 18, 16</v>
      </c>
      <c r="T790" t="str">
        <f>"Шантобе, 18, 16"</f>
        <v>Шантобе, 18, 16</v>
      </c>
      <c r="U790" t="str">
        <f>"Шантобе, 18, 16"</f>
        <v>Шантобе, 18, 16</v>
      </c>
      <c r="AC790" t="str">
        <f>"2023-08-11T00:00:00"</f>
        <v>2023-08-11T00:00:00</v>
      </c>
      <c r="AD790" t="str">
        <f>"52"</f>
        <v>52</v>
      </c>
      <c r="AG790" t="s">
        <v>646</v>
      </c>
      <c r="AI790" t="s">
        <v>269</v>
      </c>
      <c r="AJ790" t="s">
        <v>419</v>
      </c>
      <c r="AK790" t="s">
        <v>205</v>
      </c>
      <c r="AL790" t="s">
        <v>206</v>
      </c>
      <c r="AN790" t="s">
        <v>207</v>
      </c>
      <c r="AO790">
        <v>1</v>
      </c>
      <c r="AP790" t="s">
        <v>208</v>
      </c>
      <c r="AQ790" t="s">
        <v>209</v>
      </c>
      <c r="AR790" t="s">
        <v>210</v>
      </c>
      <c r="AW790" t="s">
        <v>206</v>
      </c>
      <c r="AX790" t="s">
        <v>211</v>
      </c>
      <c r="AZ790" t="s">
        <v>209</v>
      </c>
      <c r="BI790" t="s">
        <v>212</v>
      </c>
      <c r="BJ790" t="s">
        <v>213</v>
      </c>
      <c r="BK790" t="s">
        <v>214</v>
      </c>
      <c r="BL790" t="s">
        <v>215</v>
      </c>
      <c r="BN790" t="s">
        <v>216</v>
      </c>
      <c r="BO790" t="s">
        <v>209</v>
      </c>
      <c r="BP790" t="s">
        <v>1982</v>
      </c>
      <c r="BQ790" t="s">
        <v>1983</v>
      </c>
      <c r="BS790" t="s">
        <v>219</v>
      </c>
      <c r="BT790" t="s">
        <v>220</v>
      </c>
      <c r="BU790" t="s">
        <v>206</v>
      </c>
      <c r="CA790" t="s">
        <v>287</v>
      </c>
      <c r="CC790" t="s">
        <v>209</v>
      </c>
      <c r="CE790" t="s">
        <v>242</v>
      </c>
      <c r="CJ790" t="s">
        <v>206</v>
      </c>
      <c r="CK790" t="s">
        <v>230</v>
      </c>
      <c r="CL790" t="s">
        <v>231</v>
      </c>
      <c r="CM790" t="s">
        <v>232</v>
      </c>
      <c r="CN790" t="s">
        <v>233</v>
      </c>
      <c r="CP790" t="s">
        <v>212</v>
      </c>
      <c r="CQ790" t="s">
        <v>212</v>
      </c>
      <c r="CR790" t="s">
        <v>212</v>
      </c>
      <c r="CS790" t="s">
        <v>212</v>
      </c>
      <c r="CY790" t="s">
        <v>212</v>
      </c>
      <c r="DB790" t="s">
        <v>234</v>
      </c>
      <c r="DE790" t="s">
        <v>212</v>
      </c>
      <c r="DF790" t="s">
        <v>212</v>
      </c>
      <c r="DG790" t="s">
        <v>235</v>
      </c>
      <c r="DH790" t="s">
        <v>212</v>
      </c>
      <c r="DJ790" t="s">
        <v>236</v>
      </c>
      <c r="DM790" t="s">
        <v>212</v>
      </c>
    </row>
    <row r="791" spans="1:184" x14ac:dyDescent="0.3">
      <c r="A791">
        <v>25376261</v>
      </c>
      <c r="B791">
        <v>117435</v>
      </c>
      <c r="C791" t="str">
        <f>"080713654326"</f>
        <v>080713654326</v>
      </c>
      <c r="D791" t="s">
        <v>657</v>
      </c>
      <c r="E791" t="s">
        <v>554</v>
      </c>
      <c r="F791" t="s">
        <v>1984</v>
      </c>
      <c r="G791" s="1">
        <v>39642</v>
      </c>
      <c r="I791" t="s">
        <v>199</v>
      </c>
      <c r="J791" t="s">
        <v>200</v>
      </c>
      <c r="K791" t="s">
        <v>268</v>
      </c>
      <c r="Q791" t="s">
        <v>212</v>
      </c>
      <c r="R791" t="str">
        <f>"АНДОРРА, АКМОЛИНСКАЯ, СТЕПНОГОРСК, КЕНТI Аксу, 9, 8"</f>
        <v>АНДОРРА, АКМОЛИНСКАЯ, СТЕПНОГОРСК, КЕНТI Аксу, 9, 8</v>
      </c>
      <c r="S791" t="str">
        <f>"АНДОРРА, АҚМОЛА, СТЕПНОГОР, КЕНТI Аксу, 9, 8"</f>
        <v>АНДОРРА, АҚМОЛА, СТЕПНОГОР, КЕНТI Аксу, 9, 8</v>
      </c>
      <c r="T791" t="str">
        <f>"КЕНТI Аксу, 9, 8"</f>
        <v>КЕНТI Аксу, 9, 8</v>
      </c>
      <c r="U791" t="str">
        <f>"КЕНТI Аксу, 9, 8"</f>
        <v>КЕНТI Аксу, 9, 8</v>
      </c>
      <c r="AC791" t="str">
        <f>"2023-07-31T00:00:00"</f>
        <v>2023-07-31T00:00:00</v>
      </c>
      <c r="AD791" t="str">
        <f>"46"</f>
        <v>46</v>
      </c>
      <c r="AE791" t="str">
        <f>"2023-09-01T16:29:46"</f>
        <v>2023-09-01T16:29:46</v>
      </c>
      <c r="AF791" t="str">
        <f>"2024-05-25T16:29:46"</f>
        <v>2024-05-25T16:29:46</v>
      </c>
      <c r="AG791" t="s">
        <v>202</v>
      </c>
      <c r="AH791" t="str">
        <f>"beronika@mail.ru"</f>
        <v>beronika@mail.ru</v>
      </c>
      <c r="AI791" t="s">
        <v>274</v>
      </c>
      <c r="AJ791" t="s">
        <v>286</v>
      </c>
      <c r="AK791" t="s">
        <v>261</v>
      </c>
      <c r="AL791" t="s">
        <v>206</v>
      </c>
      <c r="AN791" t="s">
        <v>207</v>
      </c>
      <c r="AO791">
        <v>1</v>
      </c>
      <c r="AP791" t="s">
        <v>208</v>
      </c>
      <c r="AQ791" t="s">
        <v>209</v>
      </c>
      <c r="AR791" t="s">
        <v>210</v>
      </c>
      <c r="AW791" t="s">
        <v>206</v>
      </c>
      <c r="AX791" t="s">
        <v>211</v>
      </c>
      <c r="AZ791" t="s">
        <v>209</v>
      </c>
      <c r="BI791" t="s">
        <v>212</v>
      </c>
      <c r="BJ791" t="s">
        <v>213</v>
      </c>
      <c r="BK791" t="s">
        <v>214</v>
      </c>
      <c r="BL791" t="s">
        <v>357</v>
      </c>
      <c r="BN791" t="s">
        <v>247</v>
      </c>
      <c r="BO791" t="s">
        <v>209</v>
      </c>
      <c r="BP791" t="s">
        <v>241</v>
      </c>
      <c r="BQ791">
        <v>3</v>
      </c>
      <c r="BS791" t="s">
        <v>219</v>
      </c>
      <c r="BT791" t="s">
        <v>220</v>
      </c>
      <c r="BU791" t="s">
        <v>206</v>
      </c>
      <c r="BX791" t="s">
        <v>234</v>
      </c>
      <c r="BY791" t="s">
        <v>234</v>
      </c>
      <c r="CA791" t="s">
        <v>287</v>
      </c>
      <c r="CC791" t="s">
        <v>209</v>
      </c>
      <c r="CE791" t="s">
        <v>242</v>
      </c>
      <c r="CJ791" t="s">
        <v>206</v>
      </c>
      <c r="CK791" t="s">
        <v>230</v>
      </c>
      <c r="CL791" t="s">
        <v>231</v>
      </c>
      <c r="CM791" t="s">
        <v>232</v>
      </c>
      <c r="CN791" t="s">
        <v>233</v>
      </c>
      <c r="CP791" t="s">
        <v>212</v>
      </c>
      <c r="CQ791" t="s">
        <v>212</v>
      </c>
      <c r="CR791" t="s">
        <v>212</v>
      </c>
      <c r="CS791" t="s">
        <v>212</v>
      </c>
      <c r="CY791" t="s">
        <v>212</v>
      </c>
      <c r="DB791" t="s">
        <v>234</v>
      </c>
      <c r="DE791" t="s">
        <v>212</v>
      </c>
      <c r="DF791" t="s">
        <v>212</v>
      </c>
      <c r="DG791" t="s">
        <v>235</v>
      </c>
      <c r="DH791" t="s">
        <v>206</v>
      </c>
      <c r="DI791" t="s">
        <v>663</v>
      </c>
      <c r="DJ791" t="s">
        <v>664</v>
      </c>
      <c r="DK791" t="s">
        <v>422</v>
      </c>
      <c r="DL791" t="s">
        <v>423</v>
      </c>
      <c r="DM791" t="s">
        <v>206</v>
      </c>
    </row>
    <row r="792" spans="1:184" x14ac:dyDescent="0.3">
      <c r="A792">
        <v>25377267</v>
      </c>
      <c r="B792">
        <v>12723632</v>
      </c>
      <c r="C792" t="str">
        <f>"150822504946"</f>
        <v>150822504946</v>
      </c>
      <c r="D792" t="s">
        <v>1985</v>
      </c>
      <c r="E792" t="s">
        <v>1986</v>
      </c>
      <c r="F792" t="s">
        <v>1987</v>
      </c>
      <c r="G792" s="1">
        <v>42238</v>
      </c>
      <c r="I792" t="s">
        <v>240</v>
      </c>
      <c r="J792" t="s">
        <v>200</v>
      </c>
      <c r="K792" t="s">
        <v>201</v>
      </c>
      <c r="Q792" t="s">
        <v>212</v>
      </c>
      <c r="R792" t="str">
        <f>"КАЗАХСТАН, АСТАНА, БАЙКОНЫРСКИЙ РАЙОН, -, 56/7, 7"</f>
        <v>КАЗАХСТАН, АСТАНА, БАЙКОНЫРСКИЙ РАЙОН, -, 56/7, 7</v>
      </c>
      <c r="S792" t="str">
        <f>"ҚАЗАҚСТАН, АСТАНА, БАЙҚОҢЫР АУДАНЫ, -, 56/7, 7"</f>
        <v>ҚАЗАҚСТАН, АСТАНА, БАЙҚОҢЫР АУДАНЫ, -, 56/7, 7</v>
      </c>
      <c r="T792" t="str">
        <f>"-, 56/7, 7"</f>
        <v>-, 56/7, 7</v>
      </c>
      <c r="U792" t="str">
        <f>"-, 56/7, 7"</f>
        <v>-, 56/7, 7</v>
      </c>
      <c r="AC792" t="str">
        <f>"2023-07-28T00:00:00"</f>
        <v>2023-07-28T00:00:00</v>
      </c>
      <c r="AD792" t="str">
        <f>"44"</f>
        <v>44</v>
      </c>
      <c r="AG792" t="s">
        <v>202</v>
      </c>
      <c r="AI792" t="s">
        <v>269</v>
      </c>
      <c r="AJ792" t="s">
        <v>570</v>
      </c>
      <c r="AK792" t="s">
        <v>434</v>
      </c>
      <c r="AL792" t="s">
        <v>206</v>
      </c>
      <c r="AN792" t="s">
        <v>254</v>
      </c>
      <c r="AO792">
        <v>2</v>
      </c>
      <c r="AP792" t="s">
        <v>208</v>
      </c>
      <c r="AQ792" t="s">
        <v>209</v>
      </c>
      <c r="AR792" t="s">
        <v>502</v>
      </c>
      <c r="AW792" t="s">
        <v>212</v>
      </c>
      <c r="AZ792" t="s">
        <v>209</v>
      </c>
      <c r="BI792" t="s">
        <v>212</v>
      </c>
      <c r="BJ792" t="s">
        <v>213</v>
      </c>
      <c r="BK792" t="s">
        <v>214</v>
      </c>
      <c r="BL792" t="s">
        <v>357</v>
      </c>
      <c r="BN792" t="s">
        <v>216</v>
      </c>
      <c r="BO792" t="s">
        <v>209</v>
      </c>
      <c r="BP792" t="s">
        <v>241</v>
      </c>
      <c r="BQ792">
        <v>4</v>
      </c>
      <c r="BS792" t="s">
        <v>220</v>
      </c>
      <c r="BU792" t="s">
        <v>212</v>
      </c>
      <c r="BZ792" t="s">
        <v>571</v>
      </c>
      <c r="CA792" t="s">
        <v>287</v>
      </c>
      <c r="CC792" t="s">
        <v>209</v>
      </c>
      <c r="CE792" t="s">
        <v>242</v>
      </c>
      <c r="CJ792" t="s">
        <v>206</v>
      </c>
      <c r="CK792" t="s">
        <v>230</v>
      </c>
      <c r="CL792" t="s">
        <v>231</v>
      </c>
      <c r="CM792" t="s">
        <v>232</v>
      </c>
      <c r="CN792" t="s">
        <v>233</v>
      </c>
      <c r="CP792" t="s">
        <v>212</v>
      </c>
      <c r="CQ792" t="s">
        <v>212</v>
      </c>
      <c r="CR792" t="s">
        <v>212</v>
      </c>
      <c r="CS792" t="s">
        <v>212</v>
      </c>
      <c r="CY792" t="s">
        <v>212</v>
      </c>
      <c r="DB792" t="s">
        <v>234</v>
      </c>
      <c r="DE792" t="s">
        <v>212</v>
      </c>
      <c r="DF792" t="s">
        <v>212</v>
      </c>
      <c r="DG792" t="s">
        <v>235</v>
      </c>
      <c r="DH792" t="s">
        <v>212</v>
      </c>
      <c r="DJ792" t="s">
        <v>236</v>
      </c>
      <c r="DM792" t="s">
        <v>212</v>
      </c>
    </row>
    <row r="793" spans="1:184" x14ac:dyDescent="0.3">
      <c r="A793">
        <v>25425754</v>
      </c>
      <c r="B793">
        <v>771356</v>
      </c>
      <c r="C793" t="str">
        <f>"150422501967"</f>
        <v>150422501967</v>
      </c>
      <c r="D793" t="s">
        <v>772</v>
      </c>
      <c r="E793" t="s">
        <v>687</v>
      </c>
      <c r="F793" t="s">
        <v>1988</v>
      </c>
      <c r="G793" s="1">
        <v>42116</v>
      </c>
      <c r="I793" t="s">
        <v>240</v>
      </c>
      <c r="J793" t="s">
        <v>200</v>
      </c>
      <c r="K793" t="s">
        <v>201</v>
      </c>
      <c r="Q793" t="s">
        <v>212</v>
      </c>
      <c r="R793" t="str">
        <f>"КАЗАХСТАН, АКМОЛИНСКАЯ, СТЕПНОГОРСК, 19, 78"</f>
        <v>КАЗАХСТАН, АКМОЛИНСКАЯ, СТЕПНОГОРСК, 19, 78</v>
      </c>
      <c r="S793" t="str">
        <f>"ҚАЗАҚСТАН, АҚМОЛА, СТЕПНОГОР, 19, 78"</f>
        <v>ҚАЗАҚСТАН, АҚМОЛА, СТЕПНОГОР, 19, 78</v>
      </c>
      <c r="T793" t="str">
        <f>"19, 78"</f>
        <v>19, 78</v>
      </c>
      <c r="U793" t="str">
        <f>"19, 78"</f>
        <v>19, 78</v>
      </c>
      <c r="AC793" t="str">
        <f>"2023-08-21T00:00:00"</f>
        <v>2023-08-21T00:00:00</v>
      </c>
      <c r="AD793" t="str">
        <f>"58"</f>
        <v>58</v>
      </c>
      <c r="AG793" t="s">
        <v>202</v>
      </c>
      <c r="AI793" t="s">
        <v>269</v>
      </c>
      <c r="AJ793" t="s">
        <v>540</v>
      </c>
      <c r="AK793" t="s">
        <v>253</v>
      </c>
      <c r="AL793" t="s">
        <v>206</v>
      </c>
      <c r="AN793" t="s">
        <v>254</v>
      </c>
      <c r="AO793">
        <v>2</v>
      </c>
      <c r="AP793" t="s">
        <v>208</v>
      </c>
      <c r="AQ793" t="s">
        <v>209</v>
      </c>
      <c r="AR793" t="s">
        <v>502</v>
      </c>
      <c r="AW793" t="s">
        <v>212</v>
      </c>
      <c r="AZ793" t="s">
        <v>209</v>
      </c>
      <c r="BI793" t="s">
        <v>212</v>
      </c>
      <c r="BJ793" t="s">
        <v>213</v>
      </c>
      <c r="BK793" t="s">
        <v>214</v>
      </c>
      <c r="BL793" t="s">
        <v>357</v>
      </c>
      <c r="BN793" t="s">
        <v>216</v>
      </c>
      <c r="BO793" t="s">
        <v>209</v>
      </c>
      <c r="BP793" t="s">
        <v>415</v>
      </c>
      <c r="BQ793" t="s">
        <v>673</v>
      </c>
      <c r="BS793" t="s">
        <v>219</v>
      </c>
      <c r="BT793" t="s">
        <v>220</v>
      </c>
      <c r="BU793" t="s">
        <v>206</v>
      </c>
      <c r="BZ793" t="s">
        <v>541</v>
      </c>
      <c r="CA793" t="s">
        <v>287</v>
      </c>
      <c r="CC793" t="s">
        <v>404</v>
      </c>
      <c r="CD793" t="s">
        <v>349</v>
      </c>
      <c r="CE793" t="s">
        <v>225</v>
      </c>
      <c r="CF793" t="s">
        <v>226</v>
      </c>
      <c r="CG793" t="s">
        <v>343</v>
      </c>
      <c r="CH793" t="s">
        <v>627</v>
      </c>
      <c r="CI793" t="s">
        <v>1989</v>
      </c>
      <c r="CJ793" t="s">
        <v>206</v>
      </c>
      <c r="CK793" t="s">
        <v>230</v>
      </c>
      <c r="CL793" t="s">
        <v>231</v>
      </c>
      <c r="CM793" t="s">
        <v>232</v>
      </c>
      <c r="CN793" t="s">
        <v>233</v>
      </c>
      <c r="CP793" t="s">
        <v>212</v>
      </c>
      <c r="CQ793" t="s">
        <v>212</v>
      </c>
      <c r="CR793" t="s">
        <v>212</v>
      </c>
      <c r="CS793" t="s">
        <v>212</v>
      </c>
      <c r="CY793" t="s">
        <v>212</v>
      </c>
      <c r="DB793" t="s">
        <v>653</v>
      </c>
      <c r="DC793" t="str">
        <f>"№2349691 Нарушения  чтения и письма. Фонетико-фонематическое надоразвитие."</f>
        <v>№2349691 Нарушения  чтения и письма. Фонетико-фонематическое надоразвитие.</v>
      </c>
      <c r="DD793" t="str">
        <f>"2023-10-06T00:00:00"</f>
        <v>2023-10-06T00:00:00</v>
      </c>
      <c r="DE793" t="s">
        <v>212</v>
      </c>
      <c r="DF793" t="s">
        <v>206</v>
      </c>
      <c r="DG793" t="s">
        <v>235</v>
      </c>
      <c r="DH793" t="s">
        <v>212</v>
      </c>
      <c r="DJ793" t="s">
        <v>236</v>
      </c>
      <c r="DM793" t="s">
        <v>212</v>
      </c>
    </row>
    <row r="794" spans="1:184" x14ac:dyDescent="0.3">
      <c r="A794">
        <v>25425764</v>
      </c>
      <c r="B794">
        <v>243923</v>
      </c>
      <c r="C794" t="str">
        <f>"121007600708"</f>
        <v>121007600708</v>
      </c>
      <c r="D794" t="s">
        <v>1990</v>
      </c>
      <c r="E794" t="s">
        <v>991</v>
      </c>
      <c r="F794" t="s">
        <v>1396</v>
      </c>
      <c r="G794" s="1">
        <v>41189</v>
      </c>
      <c r="I794" t="s">
        <v>199</v>
      </c>
      <c r="J794" t="s">
        <v>200</v>
      </c>
      <c r="K794" t="s">
        <v>201</v>
      </c>
      <c r="Q794" t="s">
        <v>212</v>
      </c>
      <c r="R794" t="str">
        <f>"КАЗАХСТАН, АКМОЛИНСКАЯ, СТЕПНОГОРСК, 19, 78"</f>
        <v>КАЗАХСТАН, АКМОЛИНСКАЯ, СТЕПНОГОРСК, 19, 78</v>
      </c>
      <c r="S794" t="str">
        <f>"ҚАЗАҚСТАН, АҚМОЛА, СТЕПНОГОР, 19, 78"</f>
        <v>ҚАЗАҚСТАН, АҚМОЛА, СТЕПНОГОР, 19, 78</v>
      </c>
      <c r="T794" t="str">
        <f>"19, 78"</f>
        <v>19, 78</v>
      </c>
      <c r="U794" t="str">
        <f>"19, 78"</f>
        <v>19, 78</v>
      </c>
      <c r="AC794" t="str">
        <f>"2023-08-21T00:00:00"</f>
        <v>2023-08-21T00:00:00</v>
      </c>
      <c r="AD794" t="str">
        <f>"58"</f>
        <v>58</v>
      </c>
      <c r="AE794" t="str">
        <f>"2023-09-01T17:58:33"</f>
        <v>2023-09-01T17:58:33</v>
      </c>
      <c r="AF794" t="str">
        <f>"2024-05-25T17:58:33"</f>
        <v>2024-05-25T17:58:33</v>
      </c>
      <c r="AG794" t="s">
        <v>202</v>
      </c>
      <c r="AI794" t="s">
        <v>299</v>
      </c>
      <c r="AJ794" t="s">
        <v>419</v>
      </c>
      <c r="AK794" t="s">
        <v>253</v>
      </c>
      <c r="AL794" t="s">
        <v>206</v>
      </c>
      <c r="AN794" t="s">
        <v>254</v>
      </c>
      <c r="AO794">
        <v>1</v>
      </c>
      <c r="AP794" t="s">
        <v>208</v>
      </c>
      <c r="AQ794" t="s">
        <v>209</v>
      </c>
      <c r="AR794" t="s">
        <v>210</v>
      </c>
      <c r="AW794" t="s">
        <v>206</v>
      </c>
      <c r="AX794" t="s">
        <v>211</v>
      </c>
      <c r="AZ794" t="s">
        <v>209</v>
      </c>
      <c r="BI794" t="s">
        <v>212</v>
      </c>
      <c r="BJ794" t="s">
        <v>213</v>
      </c>
      <c r="BK794" t="s">
        <v>214</v>
      </c>
      <c r="BL794" t="s">
        <v>215</v>
      </c>
      <c r="BN794" t="s">
        <v>281</v>
      </c>
      <c r="BO794" t="s">
        <v>209</v>
      </c>
      <c r="BP794" t="s">
        <v>415</v>
      </c>
      <c r="BQ794" t="s">
        <v>493</v>
      </c>
      <c r="BS794" t="s">
        <v>219</v>
      </c>
      <c r="BT794" t="s">
        <v>220</v>
      </c>
      <c r="BU794" t="s">
        <v>212</v>
      </c>
      <c r="CA794" t="s">
        <v>249</v>
      </c>
      <c r="CB794" t="s">
        <v>223</v>
      </c>
      <c r="CC794" t="s">
        <v>1991</v>
      </c>
      <c r="CD794" t="s">
        <v>1992</v>
      </c>
      <c r="CE794" t="s">
        <v>1993</v>
      </c>
      <c r="CF794" t="s">
        <v>1994</v>
      </c>
      <c r="CG794" t="s">
        <v>1995</v>
      </c>
      <c r="CH794" t="s">
        <v>1996</v>
      </c>
      <c r="CI794" t="s">
        <v>1997</v>
      </c>
      <c r="CJ794" t="s">
        <v>206</v>
      </c>
      <c r="CK794" t="s">
        <v>230</v>
      </c>
      <c r="CL794" t="s">
        <v>231</v>
      </c>
      <c r="CM794" t="s">
        <v>232</v>
      </c>
      <c r="CN794" t="s">
        <v>233</v>
      </c>
      <c r="CP794" t="s">
        <v>212</v>
      </c>
      <c r="CQ794" t="s">
        <v>212</v>
      </c>
      <c r="CR794" t="s">
        <v>212</v>
      </c>
      <c r="CS794" t="s">
        <v>212</v>
      </c>
      <c r="CY794" t="s">
        <v>212</v>
      </c>
      <c r="DB794" t="s">
        <v>234</v>
      </c>
      <c r="DE794" t="s">
        <v>212</v>
      </c>
      <c r="DF794" t="s">
        <v>212</v>
      </c>
      <c r="DG794" t="s">
        <v>235</v>
      </c>
      <c r="DH794" t="s">
        <v>212</v>
      </c>
      <c r="DJ794" t="s">
        <v>236</v>
      </c>
      <c r="DM794" t="s">
        <v>212</v>
      </c>
    </row>
    <row r="795" spans="1:184" x14ac:dyDescent="0.3">
      <c r="A795">
        <v>25436814</v>
      </c>
      <c r="B795">
        <v>938919</v>
      </c>
      <c r="C795" t="str">
        <f>"140204604722"</f>
        <v>140204604722</v>
      </c>
      <c r="D795" t="s">
        <v>1998</v>
      </c>
      <c r="E795" t="s">
        <v>781</v>
      </c>
      <c r="F795" t="s">
        <v>1999</v>
      </c>
      <c r="G795" s="1">
        <v>41674</v>
      </c>
      <c r="I795" t="s">
        <v>199</v>
      </c>
      <c r="J795" t="s">
        <v>200</v>
      </c>
      <c r="K795" t="s">
        <v>201</v>
      </c>
      <c r="Q795" t="s">
        <v>212</v>
      </c>
      <c r="R795" t="str">
        <f>"КАЗАХСТАН, АКМОЛИНСКАЯ, СТЕПНОГОРСК, 16, 40"</f>
        <v>КАЗАХСТАН, АКМОЛИНСКАЯ, СТЕПНОГОРСК, 16, 40</v>
      </c>
      <c r="S795" t="str">
        <f>"ҚАЗАҚСТАН, АҚМОЛА, СТЕПНОГОР, 16, 40"</f>
        <v>ҚАЗАҚСТАН, АҚМОЛА, СТЕПНОГОР, 16, 40</v>
      </c>
      <c r="T795" t="str">
        <f>"16, 40"</f>
        <v>16, 40</v>
      </c>
      <c r="U795" t="str">
        <f>"16, 40"</f>
        <v>16, 40</v>
      </c>
      <c r="AC795" t="str">
        <f>"2023-08-08T00:00:00"</f>
        <v>2023-08-08T00:00:00</v>
      </c>
      <c r="AD795" t="str">
        <f>"49"</f>
        <v>49</v>
      </c>
      <c r="AE795" t="str">
        <f>"2023-09-01T23:37:43"</f>
        <v>2023-09-01T23:37:43</v>
      </c>
      <c r="AF795" t="str">
        <f>"2024-05-25T23:37:43"</f>
        <v>2024-05-25T23:37:43</v>
      </c>
      <c r="AG795" t="s">
        <v>646</v>
      </c>
      <c r="AI795" t="s">
        <v>269</v>
      </c>
      <c r="AJ795" t="s">
        <v>501</v>
      </c>
      <c r="AK795" t="s">
        <v>253</v>
      </c>
      <c r="AL795" t="s">
        <v>206</v>
      </c>
      <c r="AN795" t="s">
        <v>254</v>
      </c>
      <c r="AO795">
        <v>1</v>
      </c>
      <c r="AP795" t="s">
        <v>208</v>
      </c>
      <c r="AQ795" t="s">
        <v>209</v>
      </c>
      <c r="AR795" t="s">
        <v>502</v>
      </c>
      <c r="AW795" t="s">
        <v>212</v>
      </c>
      <c r="AZ795" t="s">
        <v>209</v>
      </c>
      <c r="BI795" t="s">
        <v>212</v>
      </c>
      <c r="BJ795" t="s">
        <v>213</v>
      </c>
      <c r="BK795" t="s">
        <v>214</v>
      </c>
      <c r="BL795" t="s">
        <v>357</v>
      </c>
      <c r="BN795" t="s">
        <v>216</v>
      </c>
      <c r="BO795" t="s">
        <v>209</v>
      </c>
      <c r="BP795" t="s">
        <v>241</v>
      </c>
      <c r="BQ795">
        <v>4</v>
      </c>
      <c r="BS795" t="s">
        <v>219</v>
      </c>
      <c r="BT795" t="s">
        <v>220</v>
      </c>
      <c r="BU795" t="s">
        <v>206</v>
      </c>
      <c r="BZ795" t="s">
        <v>503</v>
      </c>
      <c r="CA795" t="s">
        <v>287</v>
      </c>
      <c r="CC795" t="s">
        <v>209</v>
      </c>
      <c r="CE795" t="s">
        <v>242</v>
      </c>
      <c r="CJ795" t="s">
        <v>206</v>
      </c>
      <c r="CK795" t="s">
        <v>230</v>
      </c>
      <c r="CL795" t="s">
        <v>231</v>
      </c>
      <c r="CM795" t="s">
        <v>232</v>
      </c>
      <c r="CN795" t="s">
        <v>233</v>
      </c>
      <c r="CP795" t="s">
        <v>212</v>
      </c>
      <c r="CQ795" t="s">
        <v>212</v>
      </c>
      <c r="CR795" t="s">
        <v>212</v>
      </c>
      <c r="CS795" t="s">
        <v>212</v>
      </c>
      <c r="CY795" t="s">
        <v>212</v>
      </c>
      <c r="DB795" t="s">
        <v>234</v>
      </c>
      <c r="DE795" t="s">
        <v>212</v>
      </c>
      <c r="DF795" t="s">
        <v>212</v>
      </c>
      <c r="DG795" t="s">
        <v>235</v>
      </c>
      <c r="DH795" t="s">
        <v>212</v>
      </c>
      <c r="DJ795" t="s">
        <v>236</v>
      </c>
      <c r="DM795" t="s">
        <v>212</v>
      </c>
    </row>
    <row r="796" spans="1:184" x14ac:dyDescent="0.3">
      <c r="A796">
        <v>25470620</v>
      </c>
      <c r="B796">
        <v>60421</v>
      </c>
      <c r="C796" t="str">
        <f>"090709650849"</f>
        <v>090709650849</v>
      </c>
      <c r="D796" t="s">
        <v>2000</v>
      </c>
      <c r="E796" t="s">
        <v>883</v>
      </c>
      <c r="G796" s="1">
        <v>40003</v>
      </c>
      <c r="I796" t="s">
        <v>199</v>
      </c>
      <c r="J796" t="s">
        <v>200</v>
      </c>
      <c r="K796" t="s">
        <v>201</v>
      </c>
      <c r="R796" t="str">
        <f>"АНДОРРА, АКМОЛИНСКАЯ, СТЕПНОГОРСК, Изобильное, 6"</f>
        <v>АНДОРРА, АКМОЛИНСКАЯ, СТЕПНОГОРСК, Изобильное, 6</v>
      </c>
      <c r="S796" t="str">
        <f>"АНДОРРА, АҚМОЛА, СТЕПНОГОР, Изобильное, 6"</f>
        <v>АНДОРРА, АҚМОЛА, СТЕПНОГОР, Изобильное, 6</v>
      </c>
      <c r="T796" t="str">
        <f>"Изобильное, 6"</f>
        <v>Изобильное, 6</v>
      </c>
      <c r="U796" t="str">
        <f>"Изобильное, 6"</f>
        <v>Изобильное, 6</v>
      </c>
      <c r="AC796" t="str">
        <f>"2023-08-25T00:00:00"</f>
        <v>2023-08-25T00:00:00</v>
      </c>
      <c r="AD796" t="str">
        <f>"65"</f>
        <v>65</v>
      </c>
      <c r="AG796" t="s">
        <v>202</v>
      </c>
      <c r="AH796" t="str">
        <f>"izobilnoie63@mail.ru"</f>
        <v>izobilnoie63@mail.ru</v>
      </c>
      <c r="AI796" t="s">
        <v>274</v>
      </c>
      <c r="AJ796" t="s">
        <v>286</v>
      </c>
      <c r="AK796" t="s">
        <v>253</v>
      </c>
      <c r="AL796" t="s">
        <v>206</v>
      </c>
      <c r="AN796" t="s">
        <v>254</v>
      </c>
      <c r="AO796">
        <v>1</v>
      </c>
      <c r="AP796" t="s">
        <v>208</v>
      </c>
      <c r="AQ796" t="s">
        <v>209</v>
      </c>
      <c r="AR796" t="s">
        <v>210</v>
      </c>
      <c r="AW796" t="s">
        <v>206</v>
      </c>
      <c r="AX796" t="s">
        <v>211</v>
      </c>
      <c r="AZ796" t="s">
        <v>209</v>
      </c>
      <c r="BI796" t="s">
        <v>212</v>
      </c>
      <c r="BJ796" t="s">
        <v>213</v>
      </c>
      <c r="BK796" t="s">
        <v>214</v>
      </c>
      <c r="BL796" t="s">
        <v>215</v>
      </c>
      <c r="BN796" t="s">
        <v>216</v>
      </c>
      <c r="BO796" t="s">
        <v>209</v>
      </c>
      <c r="BP796" t="s">
        <v>241</v>
      </c>
      <c r="BQ796">
        <v>4</v>
      </c>
      <c r="BS796" t="s">
        <v>219</v>
      </c>
      <c r="BT796" t="s">
        <v>220</v>
      </c>
      <c r="BU796" t="s">
        <v>206</v>
      </c>
      <c r="CA796" t="s">
        <v>287</v>
      </c>
      <c r="CC796" t="s">
        <v>209</v>
      </c>
      <c r="CE796" t="s">
        <v>342</v>
      </c>
      <c r="CF796" t="s">
        <v>226</v>
      </c>
      <c r="CG796" t="s">
        <v>611</v>
      </c>
      <c r="CH796" t="s">
        <v>228</v>
      </c>
      <c r="CI796" t="s">
        <v>2001</v>
      </c>
      <c r="CJ796" t="s">
        <v>206</v>
      </c>
      <c r="CK796" t="s">
        <v>230</v>
      </c>
      <c r="CL796" t="s">
        <v>231</v>
      </c>
      <c r="CM796" t="s">
        <v>232</v>
      </c>
      <c r="CN796" t="s">
        <v>233</v>
      </c>
      <c r="CP796" t="s">
        <v>212</v>
      </c>
      <c r="CQ796" t="s">
        <v>212</v>
      </c>
      <c r="CR796" t="s">
        <v>212</v>
      </c>
      <c r="CS796" t="s">
        <v>212</v>
      </c>
      <c r="CY796" t="s">
        <v>212</v>
      </c>
      <c r="DB796" t="s">
        <v>234</v>
      </c>
      <c r="DE796" t="s">
        <v>212</v>
      </c>
      <c r="DF796" t="s">
        <v>212</v>
      </c>
      <c r="DG796" t="s">
        <v>235</v>
      </c>
      <c r="DH796" t="s">
        <v>212</v>
      </c>
      <c r="DJ796" t="s">
        <v>236</v>
      </c>
      <c r="DM796" t="s">
        <v>206</v>
      </c>
    </row>
    <row r="797" spans="1:184" x14ac:dyDescent="0.3">
      <c r="A797">
        <v>25476888</v>
      </c>
      <c r="B797">
        <v>7418353</v>
      </c>
      <c r="C797" t="str">
        <f>"160610501900"</f>
        <v>160610501900</v>
      </c>
      <c r="D797" t="s">
        <v>2002</v>
      </c>
      <c r="E797" t="s">
        <v>272</v>
      </c>
      <c r="G797" s="1">
        <v>42531</v>
      </c>
      <c r="I797" t="s">
        <v>240</v>
      </c>
      <c r="J797" t="s">
        <v>200</v>
      </c>
      <c r="K797" t="s">
        <v>201</v>
      </c>
      <c r="Q797" t="s">
        <v>212</v>
      </c>
      <c r="R797" t="str">
        <f>"КАЗАХСТАН, АКМОЛИНСКАЯ, СТЕПНОГОРСК, 26, 23"</f>
        <v>КАЗАХСТАН, АКМОЛИНСКАЯ, СТЕПНОГОРСК, 26, 23</v>
      </c>
      <c r="S797" t="str">
        <f>"ҚАЗАҚСТАН, АҚМОЛА, СТЕПНОГОР, 26, 23"</f>
        <v>ҚАЗАҚСТАН, АҚМОЛА, СТЕПНОГОР, 26, 23</v>
      </c>
      <c r="T797" t="str">
        <f>"26, 23"</f>
        <v>26, 23</v>
      </c>
      <c r="U797" t="str">
        <f>"26, 23"</f>
        <v>26, 23</v>
      </c>
      <c r="AC797" t="str">
        <f>"2023-08-25T00:00:00"</f>
        <v>2023-08-25T00:00:00</v>
      </c>
      <c r="AD797" t="str">
        <f>"201"</f>
        <v>201</v>
      </c>
      <c r="AG797" t="s">
        <v>202</v>
      </c>
      <c r="AI797" t="s">
        <v>269</v>
      </c>
      <c r="AJ797" t="s">
        <v>660</v>
      </c>
      <c r="AK797" t="s">
        <v>261</v>
      </c>
      <c r="AL797" t="s">
        <v>206</v>
      </c>
      <c r="AN797" t="s">
        <v>207</v>
      </c>
      <c r="AO797">
        <v>1</v>
      </c>
      <c r="AP797" t="s">
        <v>208</v>
      </c>
      <c r="AQ797" t="s">
        <v>209</v>
      </c>
      <c r="AR797" t="s">
        <v>502</v>
      </c>
      <c r="AW797" t="s">
        <v>212</v>
      </c>
      <c r="AZ797" t="s">
        <v>209</v>
      </c>
      <c r="BI797" t="s">
        <v>212</v>
      </c>
      <c r="BJ797" t="s">
        <v>213</v>
      </c>
      <c r="BK797" t="s">
        <v>214</v>
      </c>
      <c r="BL797" t="s">
        <v>357</v>
      </c>
      <c r="BN797" t="s">
        <v>661</v>
      </c>
      <c r="BO797" t="s">
        <v>209</v>
      </c>
      <c r="BS797" t="s">
        <v>220</v>
      </c>
      <c r="BU797" t="s">
        <v>212</v>
      </c>
      <c r="BZ797" t="s">
        <v>662</v>
      </c>
      <c r="CA797" t="s">
        <v>287</v>
      </c>
      <c r="CC797" t="s">
        <v>209</v>
      </c>
      <c r="CE797" t="s">
        <v>242</v>
      </c>
      <c r="CJ797" t="s">
        <v>206</v>
      </c>
      <c r="CK797" t="s">
        <v>230</v>
      </c>
      <c r="CL797" t="s">
        <v>231</v>
      </c>
      <c r="CM797" t="s">
        <v>232</v>
      </c>
      <c r="CN797" t="s">
        <v>233</v>
      </c>
      <c r="CP797" t="s">
        <v>212</v>
      </c>
      <c r="CQ797" t="s">
        <v>212</v>
      </c>
      <c r="CR797" t="s">
        <v>212</v>
      </c>
      <c r="CS797" t="s">
        <v>212</v>
      </c>
      <c r="CY797" t="s">
        <v>212</v>
      </c>
      <c r="DB797" t="s">
        <v>234</v>
      </c>
      <c r="DE797" t="s">
        <v>212</v>
      </c>
      <c r="DF797" t="s">
        <v>212</v>
      </c>
      <c r="DG797" t="s">
        <v>235</v>
      </c>
      <c r="DH797" t="s">
        <v>212</v>
      </c>
      <c r="DJ797" t="s">
        <v>236</v>
      </c>
      <c r="DM797" t="s">
        <v>212</v>
      </c>
    </row>
    <row r="798" spans="1:184" x14ac:dyDescent="0.3">
      <c r="A798">
        <v>25490402</v>
      </c>
      <c r="B798">
        <v>179419</v>
      </c>
      <c r="C798" t="str">
        <f>"110806501312"</f>
        <v>110806501312</v>
      </c>
      <c r="D798" t="s">
        <v>1186</v>
      </c>
      <c r="E798" t="s">
        <v>1494</v>
      </c>
      <c r="F798" t="s">
        <v>1188</v>
      </c>
      <c r="G798" s="1">
        <v>40761</v>
      </c>
      <c r="I798" t="s">
        <v>240</v>
      </c>
      <c r="J798" t="s">
        <v>200</v>
      </c>
      <c r="K798" t="s">
        <v>201</v>
      </c>
      <c r="Q798" t="s">
        <v>212</v>
      </c>
      <c r="R798" t="str">
        <f>"КАЗАХСТАН, АКМОЛИНСКАЯ, СТЕПНОГОРСК, Бестобе, 31"</f>
        <v>КАЗАХСТАН, АКМОЛИНСКАЯ, СТЕПНОГОРСК, Бестобе, 31</v>
      </c>
      <c r="S798" t="str">
        <f>"ҚАЗАҚСТАН, АҚМОЛА, СТЕПНОГОР, Бестобе, 31"</f>
        <v>ҚАЗАҚСТАН, АҚМОЛА, СТЕПНОГОР, Бестобе, 31</v>
      </c>
      <c r="T798" t="str">
        <f>"Бестобе, 31"</f>
        <v>Бестобе, 31</v>
      </c>
      <c r="U798" t="str">
        <f>"Бестобе, 31"</f>
        <v>Бестобе, 31</v>
      </c>
      <c r="AC798" t="str">
        <f>"2023-08-28T00:00:00"</f>
        <v>2023-08-28T00:00:00</v>
      </c>
      <c r="AD798" t="str">
        <f>"67"</f>
        <v>67</v>
      </c>
      <c r="AG798" t="s">
        <v>202</v>
      </c>
      <c r="AI798" t="s">
        <v>274</v>
      </c>
      <c r="AJ798" t="s">
        <v>348</v>
      </c>
      <c r="AK798" t="s">
        <v>253</v>
      </c>
      <c r="AL798" t="s">
        <v>206</v>
      </c>
      <c r="AN798" t="s">
        <v>254</v>
      </c>
      <c r="AO798">
        <v>1</v>
      </c>
      <c r="AP798" t="s">
        <v>208</v>
      </c>
      <c r="AQ798" t="s">
        <v>209</v>
      </c>
      <c r="AR798" t="s">
        <v>502</v>
      </c>
      <c r="AW798" t="s">
        <v>212</v>
      </c>
      <c r="AZ798" t="s">
        <v>209</v>
      </c>
      <c r="BI798" t="s">
        <v>212</v>
      </c>
      <c r="BJ798" t="s">
        <v>213</v>
      </c>
      <c r="BK798" t="s">
        <v>214</v>
      </c>
      <c r="BL798" t="s">
        <v>215</v>
      </c>
      <c r="BN798" t="s">
        <v>216</v>
      </c>
      <c r="BO798" t="s">
        <v>209</v>
      </c>
      <c r="BP798" t="s">
        <v>241</v>
      </c>
      <c r="BQ798">
        <v>4</v>
      </c>
      <c r="BS798" t="s">
        <v>219</v>
      </c>
      <c r="BT798" t="s">
        <v>220</v>
      </c>
      <c r="BU798" t="s">
        <v>206</v>
      </c>
      <c r="CA798" t="s">
        <v>287</v>
      </c>
      <c r="CC798" t="s">
        <v>338</v>
      </c>
      <c r="CD798" t="s">
        <v>223</v>
      </c>
      <c r="CE798" t="s">
        <v>242</v>
      </c>
      <c r="CJ798" t="s">
        <v>206</v>
      </c>
      <c r="CK798" t="s">
        <v>230</v>
      </c>
      <c r="CL798" t="s">
        <v>231</v>
      </c>
      <c r="CM798" t="s">
        <v>232</v>
      </c>
      <c r="CN798" t="s">
        <v>233</v>
      </c>
      <c r="CP798" t="s">
        <v>212</v>
      </c>
      <c r="CQ798" t="s">
        <v>212</v>
      </c>
      <c r="CR798" t="s">
        <v>212</v>
      </c>
      <c r="CS798" t="s">
        <v>212</v>
      </c>
      <c r="CY798" t="s">
        <v>212</v>
      </c>
      <c r="DB798" t="s">
        <v>234</v>
      </c>
      <c r="DE798" t="s">
        <v>212</v>
      </c>
      <c r="DF798" t="s">
        <v>212</v>
      </c>
      <c r="DG798" t="s">
        <v>235</v>
      </c>
      <c r="DH798" t="s">
        <v>212</v>
      </c>
      <c r="DJ798" t="s">
        <v>421</v>
      </c>
      <c r="DK798" t="s">
        <v>707</v>
      </c>
      <c r="DL798" t="s">
        <v>423</v>
      </c>
      <c r="DM798" t="s">
        <v>206</v>
      </c>
    </row>
    <row r="799" spans="1:184" x14ac:dyDescent="0.3">
      <c r="A799">
        <v>25503748</v>
      </c>
      <c r="B799">
        <v>8870888</v>
      </c>
      <c r="C799" t="str">
        <f>"170408503514"</f>
        <v>170408503514</v>
      </c>
      <c r="D799" t="s">
        <v>2003</v>
      </c>
      <c r="E799" t="s">
        <v>1077</v>
      </c>
      <c r="F799" t="s">
        <v>433</v>
      </c>
      <c r="G799" s="1">
        <v>42833</v>
      </c>
      <c r="I799" t="s">
        <v>240</v>
      </c>
      <c r="J799" t="s">
        <v>200</v>
      </c>
      <c r="K799" t="s">
        <v>201</v>
      </c>
      <c r="Q799" t="s">
        <v>212</v>
      </c>
      <c r="R799" t="str">
        <f>"КАЗАХСТАН, АКМОЛИНСКАЯ, СТЕПНОГОРСК, Бестобе, 77"</f>
        <v>КАЗАХСТАН, АКМОЛИНСКАЯ, СТЕПНОГОРСК, Бестобе, 77</v>
      </c>
      <c r="S799" t="str">
        <f>"ҚАЗАҚСТАН, АҚМОЛА, СТЕПНОГОР, Бестобе, 77"</f>
        <v>ҚАЗАҚСТАН, АҚМОЛА, СТЕПНОГОР, Бестобе, 77</v>
      </c>
      <c r="T799" t="str">
        <f>"Бестобе, 77"</f>
        <v>Бестобе, 77</v>
      </c>
      <c r="U799" t="str">
        <f>"Бестобе, 77"</f>
        <v>Бестобе, 77</v>
      </c>
      <c r="AC799" t="str">
        <f t="shared" ref="AC799:AC822" si="40">"2023-08-25T00:00:00"</f>
        <v>2023-08-25T00:00:00</v>
      </c>
      <c r="AD799" t="str">
        <f>"201"</f>
        <v>201</v>
      </c>
      <c r="AE799" t="str">
        <f>"2023-09-01T17:19:29"</f>
        <v>2023-09-01T17:19:29</v>
      </c>
      <c r="AF799" t="str">
        <f>"2024-05-25T17:19:29"</f>
        <v>2024-05-25T17:19:29</v>
      </c>
      <c r="AG799" t="s">
        <v>202</v>
      </c>
      <c r="AI799" t="s">
        <v>299</v>
      </c>
      <c r="AJ799" t="s">
        <v>660</v>
      </c>
      <c r="AK799" t="s">
        <v>253</v>
      </c>
      <c r="AL799" t="s">
        <v>206</v>
      </c>
      <c r="AN799" t="s">
        <v>254</v>
      </c>
      <c r="AO799">
        <v>1</v>
      </c>
      <c r="AP799" t="s">
        <v>208</v>
      </c>
      <c r="AQ799" t="s">
        <v>209</v>
      </c>
      <c r="AR799" t="s">
        <v>502</v>
      </c>
      <c r="AW799" t="s">
        <v>212</v>
      </c>
      <c r="AZ799" t="s">
        <v>209</v>
      </c>
      <c r="BI799" t="s">
        <v>212</v>
      </c>
      <c r="BJ799" t="s">
        <v>213</v>
      </c>
      <c r="BK799" t="s">
        <v>214</v>
      </c>
      <c r="BL799" t="s">
        <v>357</v>
      </c>
      <c r="BN799" t="s">
        <v>661</v>
      </c>
      <c r="BO799" t="s">
        <v>209</v>
      </c>
      <c r="BS799" t="s">
        <v>220</v>
      </c>
      <c r="BU799" t="s">
        <v>212</v>
      </c>
      <c r="BZ799" t="s">
        <v>662</v>
      </c>
      <c r="CA799" t="s">
        <v>287</v>
      </c>
      <c r="CC799" t="s">
        <v>871</v>
      </c>
      <c r="CD799" t="s">
        <v>349</v>
      </c>
      <c r="CE799" t="s">
        <v>242</v>
      </c>
      <c r="CJ799" t="s">
        <v>206</v>
      </c>
      <c r="CK799" t="s">
        <v>230</v>
      </c>
      <c r="CL799" t="s">
        <v>231</v>
      </c>
      <c r="CM799" t="s">
        <v>232</v>
      </c>
      <c r="CN799" t="s">
        <v>233</v>
      </c>
      <c r="CP799" t="s">
        <v>212</v>
      </c>
      <c r="CQ799" t="s">
        <v>212</v>
      </c>
      <c r="CR799" t="s">
        <v>212</v>
      </c>
      <c r="CS799" t="s">
        <v>212</v>
      </c>
      <c r="CY799" t="s">
        <v>212</v>
      </c>
      <c r="DB799" t="s">
        <v>234</v>
      </c>
      <c r="DE799" t="s">
        <v>212</v>
      </c>
      <c r="DF799" t="s">
        <v>212</v>
      </c>
      <c r="DG799" t="s">
        <v>235</v>
      </c>
      <c r="DH799" t="s">
        <v>212</v>
      </c>
      <c r="DJ799" t="s">
        <v>236</v>
      </c>
      <c r="DM799" t="s">
        <v>212</v>
      </c>
    </row>
    <row r="800" spans="1:184" x14ac:dyDescent="0.3">
      <c r="A800">
        <v>25513605</v>
      </c>
      <c r="B800">
        <v>308646</v>
      </c>
      <c r="C800" t="str">
        <f>"070712651186"</f>
        <v>070712651186</v>
      </c>
      <c r="D800" t="s">
        <v>2004</v>
      </c>
      <c r="E800" t="s">
        <v>2005</v>
      </c>
      <c r="F800" t="s">
        <v>2006</v>
      </c>
      <c r="G800" s="1">
        <v>39275</v>
      </c>
      <c r="I800" t="s">
        <v>199</v>
      </c>
      <c r="J800" t="s">
        <v>200</v>
      </c>
      <c r="K800" t="s">
        <v>201</v>
      </c>
      <c r="Q800" t="s">
        <v>212</v>
      </c>
      <c r="R800" t="str">
        <f>"КАЗАХСТАН, АКМОЛИНСКАЯ, СТЕПНОГОРСК, 15, 189"</f>
        <v>КАЗАХСТАН, АКМОЛИНСКАЯ, СТЕПНОГОРСК, 15, 189</v>
      </c>
      <c r="S800" t="str">
        <f>"ҚАЗАҚСТАН, АҚМОЛА, СТЕПНОГОР, 15, 189"</f>
        <v>ҚАЗАҚСТАН, АҚМОЛА, СТЕПНОГОР, 15, 189</v>
      </c>
      <c r="T800" t="str">
        <f>"15, 189"</f>
        <v>15, 189</v>
      </c>
      <c r="U800" t="str">
        <f>"15, 189"</f>
        <v>15, 189</v>
      </c>
      <c r="AC800" t="str">
        <f t="shared" si="40"/>
        <v>2023-08-25T00:00:00</v>
      </c>
      <c r="AD800" t="str">
        <f t="shared" ref="AD800:AD817" si="41">"200"</f>
        <v>200</v>
      </c>
      <c r="AE800" t="str">
        <f>"2023-09-01T08:58:52"</f>
        <v>2023-09-01T08:58:52</v>
      </c>
      <c r="AF800" t="str">
        <f>"2024-05-25T08:58:52"</f>
        <v>2024-05-25T08:58:52</v>
      </c>
      <c r="AG800" t="s">
        <v>646</v>
      </c>
      <c r="AH800" t="str">
        <f t="shared" ref="AH800:AH816" si="42">"ckool007@mail.ru"</f>
        <v>ckool007@mail.ru</v>
      </c>
      <c r="AI800" t="s">
        <v>203</v>
      </c>
      <c r="AJ800" t="s">
        <v>1157</v>
      </c>
      <c r="AK800" t="s">
        <v>205</v>
      </c>
      <c r="AL800" t="s">
        <v>206</v>
      </c>
      <c r="AN800" t="s">
        <v>207</v>
      </c>
      <c r="AO800">
        <v>1</v>
      </c>
      <c r="AP800" t="s">
        <v>208</v>
      </c>
      <c r="AQ800" t="s">
        <v>209</v>
      </c>
      <c r="AR800" t="s">
        <v>210</v>
      </c>
      <c r="AW800" t="s">
        <v>206</v>
      </c>
      <c r="AX800" t="s">
        <v>211</v>
      </c>
      <c r="AZ800" t="s">
        <v>209</v>
      </c>
      <c r="BI800" t="s">
        <v>212</v>
      </c>
      <c r="BJ800" t="s">
        <v>213</v>
      </c>
      <c r="BK800" t="s">
        <v>214</v>
      </c>
      <c r="BL800" t="s">
        <v>215</v>
      </c>
      <c r="BN800" t="s">
        <v>281</v>
      </c>
      <c r="BO800" t="s">
        <v>209</v>
      </c>
      <c r="BP800" t="s">
        <v>241</v>
      </c>
      <c r="BQ800">
        <v>5</v>
      </c>
      <c r="BS800" t="s">
        <v>219</v>
      </c>
      <c r="BT800" t="s">
        <v>220</v>
      </c>
      <c r="BU800" t="s">
        <v>206</v>
      </c>
      <c r="BX800" t="s">
        <v>221</v>
      </c>
      <c r="BY800" t="s">
        <v>221</v>
      </c>
      <c r="CA800" t="s">
        <v>222</v>
      </c>
      <c r="CB800" t="s">
        <v>223</v>
      </c>
      <c r="CC800" t="s">
        <v>209</v>
      </c>
      <c r="CE800" t="s">
        <v>242</v>
      </c>
      <c r="CJ800" t="s">
        <v>206</v>
      </c>
      <c r="CK800" t="s">
        <v>291</v>
      </c>
      <c r="CM800" t="s">
        <v>292</v>
      </c>
      <c r="CN800" t="s">
        <v>233</v>
      </c>
      <c r="CP800" t="s">
        <v>212</v>
      </c>
      <c r="CQ800" t="s">
        <v>212</v>
      </c>
      <c r="CR800" t="s">
        <v>212</v>
      </c>
      <c r="CS800" t="s">
        <v>212</v>
      </c>
      <c r="CY800" t="s">
        <v>212</v>
      </c>
      <c r="DB800" t="s">
        <v>234</v>
      </c>
      <c r="DE800" t="s">
        <v>212</v>
      </c>
      <c r="DF800" t="s">
        <v>212</v>
      </c>
      <c r="DG800" t="s">
        <v>235</v>
      </c>
      <c r="DH800" t="s">
        <v>212</v>
      </c>
      <c r="DJ800" t="s">
        <v>236</v>
      </c>
      <c r="DM800" t="s">
        <v>212</v>
      </c>
    </row>
    <row r="801" spans="1:117" x14ac:dyDescent="0.3">
      <c r="A801">
        <v>25513606</v>
      </c>
      <c r="B801">
        <v>316684</v>
      </c>
      <c r="C801" t="str">
        <f>"080307653945"</f>
        <v>080307653945</v>
      </c>
      <c r="D801" t="s">
        <v>929</v>
      </c>
      <c r="E801" t="s">
        <v>1100</v>
      </c>
      <c r="F801" t="s">
        <v>574</v>
      </c>
      <c r="G801" s="1">
        <v>39514</v>
      </c>
      <c r="I801" t="s">
        <v>199</v>
      </c>
      <c r="J801" t="s">
        <v>200</v>
      </c>
      <c r="K801" t="s">
        <v>260</v>
      </c>
      <c r="Q801" t="s">
        <v>212</v>
      </c>
      <c r="R801" t="str">
        <f>"КАЗАХСТАН, АКМОЛИНСКАЯ, СТЕПНОГОРСК, 18, 29"</f>
        <v>КАЗАХСТАН, АКМОЛИНСКАЯ, СТЕПНОГОРСК, 18, 29</v>
      </c>
      <c r="S801" t="str">
        <f>"ҚАЗАҚСТАН, АҚМОЛА, СТЕПНОГОР, 18, 29"</f>
        <v>ҚАЗАҚСТАН, АҚМОЛА, СТЕПНОГОР, 18, 29</v>
      </c>
      <c r="T801" t="str">
        <f>"18, 29"</f>
        <v>18, 29</v>
      </c>
      <c r="U801" t="str">
        <f>"18, 29"</f>
        <v>18, 29</v>
      </c>
      <c r="AC801" t="str">
        <f t="shared" si="40"/>
        <v>2023-08-25T00:00:00</v>
      </c>
      <c r="AD801" t="str">
        <f t="shared" si="41"/>
        <v>200</v>
      </c>
      <c r="AG801" t="s">
        <v>202</v>
      </c>
      <c r="AH801" t="str">
        <f t="shared" si="42"/>
        <v>ckool007@mail.ru</v>
      </c>
      <c r="AI801" t="s">
        <v>203</v>
      </c>
      <c r="AJ801" t="s">
        <v>1157</v>
      </c>
      <c r="AK801" t="s">
        <v>205</v>
      </c>
      <c r="AL801" t="s">
        <v>206</v>
      </c>
      <c r="AN801" t="s">
        <v>207</v>
      </c>
      <c r="AO801">
        <v>1</v>
      </c>
      <c r="AP801" t="s">
        <v>208</v>
      </c>
      <c r="AQ801" t="s">
        <v>209</v>
      </c>
      <c r="AR801" t="s">
        <v>210</v>
      </c>
      <c r="AW801" t="s">
        <v>206</v>
      </c>
      <c r="AX801" t="s">
        <v>211</v>
      </c>
      <c r="AZ801" t="s">
        <v>209</v>
      </c>
      <c r="BI801" t="s">
        <v>212</v>
      </c>
      <c r="BJ801" t="s">
        <v>213</v>
      </c>
      <c r="BK801" t="s">
        <v>214</v>
      </c>
      <c r="BL801" t="s">
        <v>215</v>
      </c>
      <c r="BN801" t="s">
        <v>216</v>
      </c>
      <c r="BO801" t="s">
        <v>209</v>
      </c>
      <c r="BP801" t="s">
        <v>217</v>
      </c>
      <c r="BQ801" t="s">
        <v>218</v>
      </c>
      <c r="BS801" t="s">
        <v>219</v>
      </c>
      <c r="BT801" t="s">
        <v>220</v>
      </c>
      <c r="BU801" t="s">
        <v>206</v>
      </c>
      <c r="BX801" t="s">
        <v>221</v>
      </c>
      <c r="BY801" t="s">
        <v>221</v>
      </c>
      <c r="CA801" t="s">
        <v>222</v>
      </c>
      <c r="CB801" t="s">
        <v>223</v>
      </c>
      <c r="CC801" t="s">
        <v>224</v>
      </c>
      <c r="CD801" t="s">
        <v>223</v>
      </c>
      <c r="CE801" t="s">
        <v>225</v>
      </c>
      <c r="CF801" t="s">
        <v>226</v>
      </c>
      <c r="CG801" t="s">
        <v>227</v>
      </c>
      <c r="CH801" t="s">
        <v>209</v>
      </c>
      <c r="CI801" t="s">
        <v>2007</v>
      </c>
      <c r="CJ801" t="s">
        <v>206</v>
      </c>
      <c r="CK801" t="s">
        <v>291</v>
      </c>
      <c r="CM801" t="s">
        <v>292</v>
      </c>
      <c r="CN801" t="s">
        <v>233</v>
      </c>
      <c r="CP801" t="s">
        <v>212</v>
      </c>
      <c r="CQ801" t="s">
        <v>212</v>
      </c>
      <c r="CR801" t="s">
        <v>212</v>
      </c>
      <c r="CS801" t="s">
        <v>212</v>
      </c>
      <c r="CY801" t="s">
        <v>212</v>
      </c>
      <c r="DB801" t="s">
        <v>234</v>
      </c>
      <c r="DE801" t="s">
        <v>212</v>
      </c>
      <c r="DF801" t="s">
        <v>212</v>
      </c>
      <c r="DG801" t="s">
        <v>235</v>
      </c>
      <c r="DH801" t="s">
        <v>212</v>
      </c>
      <c r="DJ801" t="s">
        <v>236</v>
      </c>
      <c r="DM801" t="s">
        <v>212</v>
      </c>
    </row>
    <row r="802" spans="1:117" x14ac:dyDescent="0.3">
      <c r="A802">
        <v>25513607</v>
      </c>
      <c r="B802">
        <v>310831</v>
      </c>
      <c r="C802" t="str">
        <f>"070314551740"</f>
        <v>070314551740</v>
      </c>
      <c r="D802" t="s">
        <v>2008</v>
      </c>
      <c r="E802" t="s">
        <v>1700</v>
      </c>
      <c r="F802" t="s">
        <v>843</v>
      </c>
      <c r="G802" s="1">
        <v>39155</v>
      </c>
      <c r="I802" t="s">
        <v>240</v>
      </c>
      <c r="J802" t="s">
        <v>200</v>
      </c>
      <c r="K802" t="s">
        <v>260</v>
      </c>
      <c r="Q802" t="s">
        <v>212</v>
      </c>
      <c r="R802" t="str">
        <f>"КАЗАХСТАН, АКМОЛИНСКАЯ, СТЕПНОГОРСК, 15, 288"</f>
        <v>КАЗАХСТАН, АКМОЛИНСКАЯ, СТЕПНОГОРСК, 15, 288</v>
      </c>
      <c r="S802" t="str">
        <f>"ҚАЗАҚСТАН, АҚМОЛА, СТЕПНОГОР, 15, 288"</f>
        <v>ҚАЗАҚСТАН, АҚМОЛА, СТЕПНОГОР, 15, 288</v>
      </c>
      <c r="T802" t="str">
        <f>"15, 288"</f>
        <v>15, 288</v>
      </c>
      <c r="U802" t="str">
        <f>"15, 288"</f>
        <v>15, 288</v>
      </c>
      <c r="AC802" t="str">
        <f t="shared" si="40"/>
        <v>2023-08-25T00:00:00</v>
      </c>
      <c r="AD802" t="str">
        <f t="shared" si="41"/>
        <v>200</v>
      </c>
      <c r="AG802" t="s">
        <v>202</v>
      </c>
      <c r="AH802" t="str">
        <f t="shared" si="42"/>
        <v>ckool007@mail.ru</v>
      </c>
      <c r="AI802" t="s">
        <v>203</v>
      </c>
      <c r="AJ802" t="s">
        <v>1157</v>
      </c>
      <c r="AK802" t="s">
        <v>205</v>
      </c>
      <c r="AL802" t="s">
        <v>206</v>
      </c>
      <c r="AN802" t="s">
        <v>207</v>
      </c>
      <c r="AO802">
        <v>1</v>
      </c>
      <c r="AP802" t="s">
        <v>208</v>
      </c>
      <c r="AQ802" t="s">
        <v>209</v>
      </c>
      <c r="AR802" t="s">
        <v>210</v>
      </c>
      <c r="AW802" t="s">
        <v>206</v>
      </c>
      <c r="AX802" t="s">
        <v>211</v>
      </c>
      <c r="AZ802" t="s">
        <v>209</v>
      </c>
      <c r="BI802" t="s">
        <v>212</v>
      </c>
      <c r="BJ802" t="s">
        <v>213</v>
      </c>
      <c r="BK802" t="s">
        <v>214</v>
      </c>
      <c r="BL802" t="s">
        <v>215</v>
      </c>
      <c r="BN802" t="s">
        <v>247</v>
      </c>
      <c r="BO802" t="s">
        <v>209</v>
      </c>
      <c r="BP802" t="s">
        <v>217</v>
      </c>
      <c r="BQ802" t="s">
        <v>830</v>
      </c>
      <c r="BS802" t="s">
        <v>219</v>
      </c>
      <c r="BT802" t="s">
        <v>220</v>
      </c>
      <c r="BU802" t="s">
        <v>206</v>
      </c>
      <c r="BX802" t="s">
        <v>221</v>
      </c>
      <c r="BY802" t="s">
        <v>221</v>
      </c>
      <c r="CA802" t="s">
        <v>222</v>
      </c>
      <c r="CB802" t="s">
        <v>223</v>
      </c>
      <c r="CC802" t="s">
        <v>222</v>
      </c>
      <c r="CD802" t="s">
        <v>223</v>
      </c>
      <c r="CE802" t="s">
        <v>242</v>
      </c>
      <c r="CJ802" t="s">
        <v>206</v>
      </c>
      <c r="CK802" t="s">
        <v>291</v>
      </c>
      <c r="CM802" t="s">
        <v>292</v>
      </c>
      <c r="CN802" t="s">
        <v>233</v>
      </c>
      <c r="CP802" t="s">
        <v>212</v>
      </c>
      <c r="CQ802" t="s">
        <v>212</v>
      </c>
      <c r="CR802" t="s">
        <v>212</v>
      </c>
      <c r="CS802" t="s">
        <v>212</v>
      </c>
      <c r="CY802" t="s">
        <v>212</v>
      </c>
      <c r="DB802" t="s">
        <v>234</v>
      </c>
      <c r="DE802" t="s">
        <v>212</v>
      </c>
      <c r="DF802" t="s">
        <v>212</v>
      </c>
      <c r="DG802" t="s">
        <v>235</v>
      </c>
      <c r="DH802" t="s">
        <v>212</v>
      </c>
      <c r="DJ802" t="s">
        <v>236</v>
      </c>
      <c r="DM802" t="s">
        <v>212</v>
      </c>
    </row>
    <row r="803" spans="1:117" x14ac:dyDescent="0.3">
      <c r="A803">
        <v>25513608</v>
      </c>
      <c r="B803">
        <v>307399</v>
      </c>
      <c r="C803" t="str">
        <f>"070209551373"</f>
        <v>070209551373</v>
      </c>
      <c r="D803" t="s">
        <v>2009</v>
      </c>
      <c r="E803" t="s">
        <v>1328</v>
      </c>
      <c r="F803" t="s">
        <v>843</v>
      </c>
      <c r="G803" s="1">
        <v>39122</v>
      </c>
      <c r="I803" t="s">
        <v>240</v>
      </c>
      <c r="J803" t="s">
        <v>200</v>
      </c>
      <c r="K803" t="s">
        <v>260</v>
      </c>
      <c r="Q803" t="s">
        <v>212</v>
      </c>
      <c r="R803" t="str">
        <f>"КАЗАХСТАН, АКМОЛИНСКАЯ, СТЕПНОГОРСК, 11, 54"</f>
        <v>КАЗАХСТАН, АКМОЛИНСКАЯ, СТЕПНОГОРСК, 11, 54</v>
      </c>
      <c r="S803" t="str">
        <f>"ҚАЗАҚСТАН, АҚМОЛА, СТЕПНОГОР, 11, 54"</f>
        <v>ҚАЗАҚСТАН, АҚМОЛА, СТЕПНОГОР, 11, 54</v>
      </c>
      <c r="T803" t="str">
        <f>"11, 54"</f>
        <v>11, 54</v>
      </c>
      <c r="U803" t="str">
        <f>"11, 54"</f>
        <v>11, 54</v>
      </c>
      <c r="AC803" t="str">
        <f t="shared" si="40"/>
        <v>2023-08-25T00:00:00</v>
      </c>
      <c r="AD803" t="str">
        <f t="shared" si="41"/>
        <v>200</v>
      </c>
      <c r="AG803" t="s">
        <v>202</v>
      </c>
      <c r="AH803" t="str">
        <f t="shared" si="42"/>
        <v>ckool007@mail.ru</v>
      </c>
      <c r="AI803" t="s">
        <v>203</v>
      </c>
      <c r="AJ803" t="s">
        <v>1157</v>
      </c>
      <c r="AK803" t="s">
        <v>205</v>
      </c>
      <c r="AL803" t="s">
        <v>206</v>
      </c>
      <c r="AN803" t="s">
        <v>207</v>
      </c>
      <c r="AO803">
        <v>1</v>
      </c>
      <c r="AP803" t="s">
        <v>208</v>
      </c>
      <c r="AQ803" t="s">
        <v>209</v>
      </c>
      <c r="AR803" t="s">
        <v>210</v>
      </c>
      <c r="AW803" t="s">
        <v>206</v>
      </c>
      <c r="AX803" t="s">
        <v>211</v>
      </c>
      <c r="AZ803" t="s">
        <v>209</v>
      </c>
      <c r="BI803" t="s">
        <v>212</v>
      </c>
      <c r="BJ803" t="s">
        <v>213</v>
      </c>
      <c r="BK803" t="s">
        <v>214</v>
      </c>
      <c r="BL803" t="s">
        <v>215</v>
      </c>
      <c r="BN803" t="s">
        <v>247</v>
      </c>
      <c r="BO803" t="s">
        <v>209</v>
      </c>
      <c r="BP803" t="s">
        <v>217</v>
      </c>
      <c r="BQ803" t="s">
        <v>1238</v>
      </c>
      <c r="BS803" t="s">
        <v>219</v>
      </c>
      <c r="BT803" t="s">
        <v>220</v>
      </c>
      <c r="BU803" t="s">
        <v>206</v>
      </c>
      <c r="BX803" t="s">
        <v>221</v>
      </c>
      <c r="BY803" t="s">
        <v>221</v>
      </c>
      <c r="CA803" t="s">
        <v>222</v>
      </c>
      <c r="CB803" t="s">
        <v>223</v>
      </c>
      <c r="CC803" t="s">
        <v>209</v>
      </c>
      <c r="CE803" t="s">
        <v>242</v>
      </c>
      <c r="CJ803" t="s">
        <v>206</v>
      </c>
      <c r="CK803" t="s">
        <v>291</v>
      </c>
      <c r="CM803" t="s">
        <v>292</v>
      </c>
      <c r="CN803" t="s">
        <v>233</v>
      </c>
      <c r="CP803" t="s">
        <v>212</v>
      </c>
      <c r="CQ803" t="s">
        <v>212</v>
      </c>
      <c r="CR803" t="s">
        <v>212</v>
      </c>
      <c r="CS803" t="s">
        <v>212</v>
      </c>
      <c r="CY803" t="s">
        <v>212</v>
      </c>
      <c r="DB803" t="s">
        <v>234</v>
      </c>
      <c r="DE803" t="s">
        <v>212</v>
      </c>
      <c r="DF803" t="s">
        <v>212</v>
      </c>
      <c r="DG803" t="s">
        <v>235</v>
      </c>
      <c r="DH803" t="s">
        <v>212</v>
      </c>
      <c r="DJ803" t="s">
        <v>236</v>
      </c>
      <c r="DM803" t="s">
        <v>212</v>
      </c>
    </row>
    <row r="804" spans="1:117" x14ac:dyDescent="0.3">
      <c r="A804">
        <v>25513609</v>
      </c>
      <c r="B804">
        <v>307425</v>
      </c>
      <c r="C804" t="str">
        <f>"070825550156"</f>
        <v>070825550156</v>
      </c>
      <c r="D804" t="s">
        <v>1728</v>
      </c>
      <c r="E804" t="s">
        <v>842</v>
      </c>
      <c r="F804" t="s">
        <v>1729</v>
      </c>
      <c r="G804" s="1">
        <v>39319</v>
      </c>
      <c r="I804" t="s">
        <v>240</v>
      </c>
      <c r="J804" t="s">
        <v>200</v>
      </c>
      <c r="K804" t="s">
        <v>260</v>
      </c>
      <c r="Q804" t="s">
        <v>212</v>
      </c>
      <c r="R804" t="str">
        <f>"КАЗАХСТАН, АКМОЛИНСКАЯ, СТЕПНОГОРСК, 43, 147"</f>
        <v>КАЗАХСТАН, АКМОЛИНСКАЯ, СТЕПНОГОРСК, 43, 147</v>
      </c>
      <c r="S804" t="str">
        <f>"ҚАЗАҚСТАН, АҚМОЛА, СТЕПНОГОР, 43, 147"</f>
        <v>ҚАЗАҚСТАН, АҚМОЛА, СТЕПНОГОР, 43, 147</v>
      </c>
      <c r="T804" t="str">
        <f>"43, 147"</f>
        <v>43, 147</v>
      </c>
      <c r="U804" t="str">
        <f>"43, 147"</f>
        <v>43, 147</v>
      </c>
      <c r="AC804" t="str">
        <f t="shared" si="40"/>
        <v>2023-08-25T00:00:00</v>
      </c>
      <c r="AD804" t="str">
        <f t="shared" si="41"/>
        <v>200</v>
      </c>
      <c r="AG804" t="s">
        <v>202</v>
      </c>
      <c r="AH804" t="str">
        <f t="shared" si="42"/>
        <v>ckool007@mail.ru</v>
      </c>
      <c r="AI804" t="s">
        <v>203</v>
      </c>
      <c r="AJ804" t="s">
        <v>1157</v>
      </c>
      <c r="AK804" t="s">
        <v>205</v>
      </c>
      <c r="AL804" t="s">
        <v>206</v>
      </c>
      <c r="AN804" t="s">
        <v>207</v>
      </c>
      <c r="AO804">
        <v>1</v>
      </c>
      <c r="AP804" t="s">
        <v>208</v>
      </c>
      <c r="AQ804" t="s">
        <v>209</v>
      </c>
      <c r="AR804" t="s">
        <v>307</v>
      </c>
      <c r="AW804" t="s">
        <v>206</v>
      </c>
      <c r="AX804" t="s">
        <v>211</v>
      </c>
      <c r="AZ804" t="s">
        <v>209</v>
      </c>
      <c r="BI804" t="s">
        <v>212</v>
      </c>
      <c r="BJ804" t="s">
        <v>213</v>
      </c>
      <c r="BK804" t="s">
        <v>214</v>
      </c>
      <c r="BL804" t="s">
        <v>215</v>
      </c>
      <c r="BN804" t="s">
        <v>216</v>
      </c>
      <c r="BO804" t="s">
        <v>209</v>
      </c>
      <c r="BP804" t="s">
        <v>217</v>
      </c>
      <c r="BQ804" t="s">
        <v>465</v>
      </c>
      <c r="BS804" t="s">
        <v>219</v>
      </c>
      <c r="BT804" t="s">
        <v>220</v>
      </c>
      <c r="BU804" t="s">
        <v>206</v>
      </c>
      <c r="BX804" t="s">
        <v>221</v>
      </c>
      <c r="BY804" t="s">
        <v>221</v>
      </c>
      <c r="CA804" t="s">
        <v>222</v>
      </c>
      <c r="CB804" t="s">
        <v>223</v>
      </c>
      <c r="CC804" t="s">
        <v>222</v>
      </c>
      <c r="CD804" t="s">
        <v>223</v>
      </c>
      <c r="CE804" t="s">
        <v>242</v>
      </c>
      <c r="CJ804" t="s">
        <v>206</v>
      </c>
      <c r="CK804" t="s">
        <v>291</v>
      </c>
      <c r="CM804" t="s">
        <v>292</v>
      </c>
      <c r="CN804" t="s">
        <v>233</v>
      </c>
      <c r="CP804" t="s">
        <v>212</v>
      </c>
      <c r="CQ804" t="s">
        <v>212</v>
      </c>
      <c r="CR804" t="s">
        <v>212</v>
      </c>
      <c r="CS804" t="s">
        <v>212</v>
      </c>
      <c r="CY804" t="s">
        <v>212</v>
      </c>
      <c r="DB804" t="s">
        <v>234</v>
      </c>
      <c r="DE804" t="s">
        <v>212</v>
      </c>
      <c r="DF804" t="s">
        <v>212</v>
      </c>
      <c r="DG804" t="s">
        <v>235</v>
      </c>
      <c r="DH804" t="s">
        <v>212</v>
      </c>
      <c r="DJ804" t="s">
        <v>236</v>
      </c>
      <c r="DM804" t="s">
        <v>212</v>
      </c>
    </row>
    <row r="805" spans="1:117" x14ac:dyDescent="0.3">
      <c r="A805">
        <v>25513610</v>
      </c>
      <c r="B805">
        <v>308850</v>
      </c>
      <c r="C805" t="str">
        <f>"070828650416"</f>
        <v>070828650416</v>
      </c>
      <c r="D805" t="s">
        <v>2010</v>
      </c>
      <c r="E805" t="s">
        <v>304</v>
      </c>
      <c r="F805" t="s">
        <v>267</v>
      </c>
      <c r="G805" s="1">
        <v>39322</v>
      </c>
      <c r="I805" t="s">
        <v>199</v>
      </c>
      <c r="J805" t="s">
        <v>200</v>
      </c>
      <c r="K805" t="s">
        <v>260</v>
      </c>
      <c r="Q805" t="s">
        <v>212</v>
      </c>
      <c r="R805" t="str">
        <f>"КАЗАХСТАН, АКМОЛИНСКАЯ, СТЕПНОГОРСК, 32, 74"</f>
        <v>КАЗАХСТАН, АКМОЛИНСКАЯ, СТЕПНОГОРСК, 32, 74</v>
      </c>
      <c r="S805" t="str">
        <f>"ҚАЗАҚСТАН, АҚМОЛА, СТЕПНОГОР, 32, 74"</f>
        <v>ҚАЗАҚСТАН, АҚМОЛА, СТЕПНОГОР, 32, 74</v>
      </c>
      <c r="T805" t="str">
        <f>"32, 74"</f>
        <v>32, 74</v>
      </c>
      <c r="U805" t="str">
        <f>"32, 74"</f>
        <v>32, 74</v>
      </c>
      <c r="AC805" t="str">
        <f t="shared" si="40"/>
        <v>2023-08-25T00:00:00</v>
      </c>
      <c r="AD805" t="str">
        <f t="shared" si="41"/>
        <v>200</v>
      </c>
      <c r="AG805" t="s">
        <v>202</v>
      </c>
      <c r="AH805" t="str">
        <f t="shared" si="42"/>
        <v>ckool007@mail.ru</v>
      </c>
      <c r="AI805" t="s">
        <v>203</v>
      </c>
      <c r="AJ805" t="s">
        <v>1157</v>
      </c>
      <c r="AK805" t="s">
        <v>205</v>
      </c>
      <c r="AL805" t="s">
        <v>206</v>
      </c>
      <c r="AN805" t="s">
        <v>207</v>
      </c>
      <c r="AO805">
        <v>1</v>
      </c>
      <c r="AP805" t="s">
        <v>208</v>
      </c>
      <c r="AQ805" t="s">
        <v>209</v>
      </c>
      <c r="AR805" t="s">
        <v>210</v>
      </c>
      <c r="AW805" t="s">
        <v>206</v>
      </c>
      <c r="AX805" t="s">
        <v>211</v>
      </c>
      <c r="AZ805" t="s">
        <v>209</v>
      </c>
      <c r="BI805" t="s">
        <v>212</v>
      </c>
      <c r="BJ805" t="s">
        <v>213</v>
      </c>
      <c r="BK805" t="s">
        <v>214</v>
      </c>
      <c r="BL805" t="s">
        <v>215</v>
      </c>
      <c r="BN805" t="s">
        <v>216</v>
      </c>
      <c r="BO805" t="s">
        <v>209</v>
      </c>
      <c r="BP805" t="s">
        <v>241</v>
      </c>
      <c r="BQ805">
        <v>4</v>
      </c>
      <c r="BS805" t="s">
        <v>219</v>
      </c>
      <c r="BT805" t="s">
        <v>220</v>
      </c>
      <c r="BU805" t="s">
        <v>206</v>
      </c>
      <c r="BX805" t="s">
        <v>221</v>
      </c>
      <c r="BY805" t="s">
        <v>221</v>
      </c>
      <c r="CA805" t="s">
        <v>222</v>
      </c>
      <c r="CB805" t="s">
        <v>223</v>
      </c>
      <c r="CC805" t="s">
        <v>209</v>
      </c>
      <c r="CE805" t="s">
        <v>242</v>
      </c>
      <c r="CJ805" t="s">
        <v>206</v>
      </c>
      <c r="CK805" t="s">
        <v>291</v>
      </c>
      <c r="CM805" t="s">
        <v>292</v>
      </c>
      <c r="CN805" t="s">
        <v>233</v>
      </c>
      <c r="CP805" t="s">
        <v>212</v>
      </c>
      <c r="CQ805" t="s">
        <v>212</v>
      </c>
      <c r="CR805" t="s">
        <v>212</v>
      </c>
      <c r="CS805" t="s">
        <v>212</v>
      </c>
      <c r="CY805" t="s">
        <v>212</v>
      </c>
      <c r="DB805" t="s">
        <v>234</v>
      </c>
      <c r="DE805" t="s">
        <v>212</v>
      </c>
      <c r="DF805" t="s">
        <v>212</v>
      </c>
      <c r="DG805" t="s">
        <v>235</v>
      </c>
      <c r="DH805" t="s">
        <v>212</v>
      </c>
      <c r="DJ805" t="s">
        <v>236</v>
      </c>
      <c r="DM805" t="s">
        <v>212</v>
      </c>
    </row>
    <row r="806" spans="1:117" x14ac:dyDescent="0.3">
      <c r="A806">
        <v>25513611</v>
      </c>
      <c r="B806">
        <v>114400</v>
      </c>
      <c r="C806" t="str">
        <f>"080801655411"</f>
        <v>080801655411</v>
      </c>
      <c r="D806" t="s">
        <v>1581</v>
      </c>
      <c r="E806" t="s">
        <v>2011</v>
      </c>
      <c r="F806" t="s">
        <v>1518</v>
      </c>
      <c r="G806" s="1">
        <v>39661</v>
      </c>
      <c r="I806" t="s">
        <v>199</v>
      </c>
      <c r="J806" t="s">
        <v>200</v>
      </c>
      <c r="K806" t="s">
        <v>201</v>
      </c>
      <c r="Q806" t="s">
        <v>212</v>
      </c>
      <c r="R806" t="str">
        <f>"КАЗАХСТАН, АКМОЛИНСКАЯ, СТЕПНОГОРСК, 33, 1"</f>
        <v>КАЗАХСТАН, АКМОЛИНСКАЯ, СТЕПНОГОРСК, 33, 1</v>
      </c>
      <c r="S806" t="str">
        <f>"ҚАЗАҚСТАН, АҚМОЛА, СТЕПНОГОР, 33, 1"</f>
        <v>ҚАЗАҚСТАН, АҚМОЛА, СТЕПНОГОР, 33, 1</v>
      </c>
      <c r="T806" t="str">
        <f>"33, 1"</f>
        <v>33, 1</v>
      </c>
      <c r="U806" t="str">
        <f>"33, 1"</f>
        <v>33, 1</v>
      </c>
      <c r="AC806" t="str">
        <f t="shared" si="40"/>
        <v>2023-08-25T00:00:00</v>
      </c>
      <c r="AD806" t="str">
        <f t="shared" si="41"/>
        <v>200</v>
      </c>
      <c r="AG806" t="s">
        <v>202</v>
      </c>
      <c r="AH806" t="str">
        <f t="shared" si="42"/>
        <v>ckool007@mail.ru</v>
      </c>
      <c r="AI806" t="s">
        <v>274</v>
      </c>
      <c r="AJ806" t="s">
        <v>1157</v>
      </c>
      <c r="AK806" t="s">
        <v>205</v>
      </c>
      <c r="AL806" t="s">
        <v>206</v>
      </c>
      <c r="AN806" t="s">
        <v>207</v>
      </c>
      <c r="AO806">
        <v>1</v>
      </c>
      <c r="AP806" t="s">
        <v>208</v>
      </c>
      <c r="AQ806" t="s">
        <v>209</v>
      </c>
      <c r="AR806" t="s">
        <v>210</v>
      </c>
      <c r="AW806" t="s">
        <v>206</v>
      </c>
      <c r="AX806" t="s">
        <v>211</v>
      </c>
      <c r="AZ806" t="s">
        <v>209</v>
      </c>
      <c r="BI806" t="s">
        <v>212</v>
      </c>
      <c r="BJ806" t="s">
        <v>213</v>
      </c>
      <c r="BK806" t="s">
        <v>214</v>
      </c>
      <c r="BL806" t="s">
        <v>215</v>
      </c>
      <c r="BN806" t="s">
        <v>216</v>
      </c>
      <c r="BO806" t="s">
        <v>209</v>
      </c>
      <c r="BP806" t="s">
        <v>241</v>
      </c>
      <c r="BQ806">
        <v>4</v>
      </c>
      <c r="BS806" t="s">
        <v>219</v>
      </c>
      <c r="BT806" t="s">
        <v>220</v>
      </c>
      <c r="BU806" t="s">
        <v>206</v>
      </c>
      <c r="BX806" t="s">
        <v>221</v>
      </c>
      <c r="BY806" t="s">
        <v>221</v>
      </c>
      <c r="CA806" t="s">
        <v>222</v>
      </c>
      <c r="CB806" t="s">
        <v>223</v>
      </c>
      <c r="CC806" t="s">
        <v>209</v>
      </c>
      <c r="CE806" t="s">
        <v>242</v>
      </c>
      <c r="CJ806" t="s">
        <v>206</v>
      </c>
      <c r="CK806" t="s">
        <v>291</v>
      </c>
      <c r="CM806" t="s">
        <v>292</v>
      </c>
      <c r="CN806" t="s">
        <v>233</v>
      </c>
      <c r="CP806" t="s">
        <v>212</v>
      </c>
      <c r="CQ806" t="s">
        <v>212</v>
      </c>
      <c r="CR806" t="s">
        <v>212</v>
      </c>
      <c r="CS806" t="s">
        <v>212</v>
      </c>
      <c r="CY806" t="s">
        <v>212</v>
      </c>
      <c r="DB806" t="s">
        <v>234</v>
      </c>
      <c r="DE806" t="s">
        <v>212</v>
      </c>
      <c r="DF806" t="s">
        <v>212</v>
      </c>
      <c r="DG806" t="s">
        <v>235</v>
      </c>
      <c r="DH806" t="s">
        <v>206</v>
      </c>
      <c r="DJ806" t="s">
        <v>421</v>
      </c>
      <c r="DK806" t="s">
        <v>707</v>
      </c>
      <c r="DL806" t="s">
        <v>423</v>
      </c>
      <c r="DM806" t="s">
        <v>206</v>
      </c>
    </row>
    <row r="807" spans="1:117" x14ac:dyDescent="0.3">
      <c r="A807">
        <v>25513671</v>
      </c>
      <c r="B807">
        <v>307043</v>
      </c>
      <c r="C807" t="str">
        <f>"070103551337"</f>
        <v>070103551337</v>
      </c>
      <c r="D807" t="s">
        <v>2012</v>
      </c>
      <c r="E807" t="s">
        <v>1127</v>
      </c>
      <c r="F807" t="s">
        <v>2013</v>
      </c>
      <c r="G807" s="1">
        <v>39085</v>
      </c>
      <c r="I807" t="s">
        <v>240</v>
      </c>
      <c r="J807" t="s">
        <v>200</v>
      </c>
      <c r="K807" t="s">
        <v>201</v>
      </c>
      <c r="Q807" t="s">
        <v>212</v>
      </c>
      <c r="R807" t="str">
        <f>"КАЗАХСТАН, АКМОЛИНСКАЯ, СТЕПНОГОРСК, 87, 140"</f>
        <v>КАЗАХСТАН, АКМОЛИНСКАЯ, СТЕПНОГОРСК, 87, 140</v>
      </c>
      <c r="S807" t="str">
        <f>"ҚАЗАҚСТАН, АҚМОЛА, СТЕПНОГОР, 87, 140"</f>
        <v>ҚАЗАҚСТАН, АҚМОЛА, СТЕПНОГОР, 87, 140</v>
      </c>
      <c r="T807" t="str">
        <f>"87, 140"</f>
        <v>87, 140</v>
      </c>
      <c r="U807" t="str">
        <f>"87, 140"</f>
        <v>87, 140</v>
      </c>
      <c r="AC807" t="str">
        <f t="shared" si="40"/>
        <v>2023-08-25T00:00:00</v>
      </c>
      <c r="AD807" t="str">
        <f t="shared" si="41"/>
        <v>200</v>
      </c>
      <c r="AG807" t="s">
        <v>202</v>
      </c>
      <c r="AH807" t="str">
        <f t="shared" si="42"/>
        <v>ckool007@mail.ru</v>
      </c>
      <c r="AI807" t="s">
        <v>203</v>
      </c>
      <c r="AJ807" t="s">
        <v>1157</v>
      </c>
      <c r="AK807" t="s">
        <v>205</v>
      </c>
      <c r="AL807" t="s">
        <v>206</v>
      </c>
      <c r="AN807" t="s">
        <v>207</v>
      </c>
      <c r="AO807">
        <v>1</v>
      </c>
      <c r="AP807" t="s">
        <v>208</v>
      </c>
      <c r="AQ807" t="s">
        <v>209</v>
      </c>
      <c r="AR807" t="s">
        <v>210</v>
      </c>
      <c r="AV807" t="str">
        <f>"2021-01-24T23:32:16"</f>
        <v>2021-01-24T23:32:16</v>
      </c>
      <c r="AW807" t="s">
        <v>206</v>
      </c>
      <c r="AX807" t="s">
        <v>211</v>
      </c>
      <c r="AZ807" t="s">
        <v>209</v>
      </c>
      <c r="BI807" t="s">
        <v>212</v>
      </c>
      <c r="BJ807" t="s">
        <v>213</v>
      </c>
      <c r="BK807" t="s">
        <v>214</v>
      </c>
      <c r="BL807" t="s">
        <v>215</v>
      </c>
      <c r="BN807" t="s">
        <v>216</v>
      </c>
      <c r="BO807" t="s">
        <v>209</v>
      </c>
      <c r="BP807" t="s">
        <v>241</v>
      </c>
      <c r="BQ807">
        <v>4</v>
      </c>
      <c r="BS807" t="s">
        <v>219</v>
      </c>
      <c r="BT807" t="s">
        <v>220</v>
      </c>
      <c r="BU807" t="s">
        <v>206</v>
      </c>
      <c r="BX807" t="s">
        <v>221</v>
      </c>
      <c r="BY807" t="s">
        <v>221</v>
      </c>
      <c r="CA807" t="s">
        <v>222</v>
      </c>
      <c r="CB807" t="s">
        <v>223</v>
      </c>
      <c r="CC807" t="s">
        <v>209</v>
      </c>
      <c r="CE807" t="s">
        <v>242</v>
      </c>
      <c r="CJ807" t="s">
        <v>206</v>
      </c>
      <c r="CK807" t="s">
        <v>291</v>
      </c>
      <c r="CM807" t="s">
        <v>292</v>
      </c>
      <c r="CN807" t="s">
        <v>233</v>
      </c>
      <c r="CP807" t="s">
        <v>212</v>
      </c>
      <c r="CQ807" t="s">
        <v>212</v>
      </c>
      <c r="CR807" t="s">
        <v>212</v>
      </c>
      <c r="CS807" t="s">
        <v>212</v>
      </c>
      <c r="CY807" t="s">
        <v>212</v>
      </c>
      <c r="DB807" t="s">
        <v>234</v>
      </c>
      <c r="DE807" t="s">
        <v>212</v>
      </c>
      <c r="DF807" t="s">
        <v>212</v>
      </c>
      <c r="DG807" t="s">
        <v>235</v>
      </c>
      <c r="DH807" t="s">
        <v>212</v>
      </c>
      <c r="DJ807" t="s">
        <v>236</v>
      </c>
      <c r="DM807" t="s">
        <v>212</v>
      </c>
    </row>
    <row r="808" spans="1:117" x14ac:dyDescent="0.3">
      <c r="A808">
        <v>25513672</v>
      </c>
      <c r="B808">
        <v>308460</v>
      </c>
      <c r="C808" t="str">
        <f>"070104651268"</f>
        <v>070104651268</v>
      </c>
      <c r="D808" t="s">
        <v>2014</v>
      </c>
      <c r="E808" t="s">
        <v>347</v>
      </c>
      <c r="F808" t="s">
        <v>305</v>
      </c>
      <c r="G808" s="1">
        <v>39086</v>
      </c>
      <c r="I808" t="s">
        <v>199</v>
      </c>
      <c r="J808" t="s">
        <v>200</v>
      </c>
      <c r="K808" t="s">
        <v>268</v>
      </c>
      <c r="Q808" t="s">
        <v>212</v>
      </c>
      <c r="R808" t="str">
        <f>"КАЗАХСТАН, АКМОЛИНСКАЯ, СТЕПНОГОРСК, 22, 100"</f>
        <v>КАЗАХСТАН, АКМОЛИНСКАЯ, СТЕПНОГОРСК, 22, 100</v>
      </c>
      <c r="S808" t="str">
        <f>"ҚАЗАҚСТАН, АҚМОЛА, СТЕПНОГОР, 22, 100"</f>
        <v>ҚАЗАҚСТАН, АҚМОЛА, СТЕПНОГОР, 22, 100</v>
      </c>
      <c r="T808" t="str">
        <f>"22, 100"</f>
        <v>22, 100</v>
      </c>
      <c r="U808" t="str">
        <f>"22, 100"</f>
        <v>22, 100</v>
      </c>
      <c r="AC808" t="str">
        <f t="shared" si="40"/>
        <v>2023-08-25T00:00:00</v>
      </c>
      <c r="AD808" t="str">
        <f t="shared" si="41"/>
        <v>200</v>
      </c>
      <c r="AG808" t="s">
        <v>202</v>
      </c>
      <c r="AH808" t="str">
        <f t="shared" si="42"/>
        <v>ckool007@mail.ru</v>
      </c>
      <c r="AI808" t="s">
        <v>203</v>
      </c>
      <c r="AJ808" t="s">
        <v>1157</v>
      </c>
      <c r="AK808" t="s">
        <v>205</v>
      </c>
      <c r="AL808" t="s">
        <v>206</v>
      </c>
      <c r="AN808" t="s">
        <v>207</v>
      </c>
      <c r="AO808">
        <v>1</v>
      </c>
      <c r="AP808" t="s">
        <v>208</v>
      </c>
      <c r="AQ808" t="s">
        <v>209</v>
      </c>
      <c r="AR808" t="s">
        <v>210</v>
      </c>
      <c r="AW808" t="s">
        <v>206</v>
      </c>
      <c r="AX808" t="s">
        <v>211</v>
      </c>
      <c r="AZ808" t="s">
        <v>209</v>
      </c>
      <c r="BI808" t="s">
        <v>212</v>
      </c>
      <c r="BJ808" t="s">
        <v>213</v>
      </c>
      <c r="BK808" t="s">
        <v>214</v>
      </c>
      <c r="BL808" t="s">
        <v>215</v>
      </c>
      <c r="BN808" t="s">
        <v>216</v>
      </c>
      <c r="BO808" t="s">
        <v>209</v>
      </c>
      <c r="BP808" t="s">
        <v>241</v>
      </c>
      <c r="BQ808">
        <v>4</v>
      </c>
      <c r="BS808" t="s">
        <v>219</v>
      </c>
      <c r="BT808" t="s">
        <v>220</v>
      </c>
      <c r="BU808" t="s">
        <v>206</v>
      </c>
      <c r="BX808" t="s">
        <v>234</v>
      </c>
      <c r="BY808" t="s">
        <v>234</v>
      </c>
      <c r="CA808" t="s">
        <v>222</v>
      </c>
      <c r="CB808" t="s">
        <v>223</v>
      </c>
      <c r="CC808" t="s">
        <v>209</v>
      </c>
      <c r="CE808" t="s">
        <v>225</v>
      </c>
      <c r="CF808" t="s">
        <v>226</v>
      </c>
      <c r="CG808" t="s">
        <v>227</v>
      </c>
      <c r="CH808" t="s">
        <v>209</v>
      </c>
      <c r="CI808" t="s">
        <v>2015</v>
      </c>
      <c r="CJ808" t="s">
        <v>206</v>
      </c>
      <c r="CK808" t="s">
        <v>291</v>
      </c>
      <c r="CM808" t="s">
        <v>292</v>
      </c>
      <c r="CN808" t="s">
        <v>233</v>
      </c>
      <c r="CP808" t="s">
        <v>212</v>
      </c>
      <c r="CQ808" t="s">
        <v>212</v>
      </c>
      <c r="CR808" t="s">
        <v>212</v>
      </c>
      <c r="CS808" t="s">
        <v>212</v>
      </c>
      <c r="CY808" t="s">
        <v>212</v>
      </c>
      <c r="DB808" t="s">
        <v>234</v>
      </c>
      <c r="DE808" t="s">
        <v>212</v>
      </c>
      <c r="DF808" t="s">
        <v>212</v>
      </c>
      <c r="DG808" t="s">
        <v>235</v>
      </c>
      <c r="DH808" t="s">
        <v>212</v>
      </c>
      <c r="DJ808" t="s">
        <v>236</v>
      </c>
      <c r="DM808" t="s">
        <v>212</v>
      </c>
    </row>
    <row r="809" spans="1:117" x14ac:dyDescent="0.3">
      <c r="A809">
        <v>25513673</v>
      </c>
      <c r="B809">
        <v>309821</v>
      </c>
      <c r="C809" t="str">
        <f>"070527651478"</f>
        <v>070527651478</v>
      </c>
      <c r="D809" t="s">
        <v>2016</v>
      </c>
      <c r="E809" t="s">
        <v>725</v>
      </c>
      <c r="F809" t="s">
        <v>1163</v>
      </c>
      <c r="G809" s="1">
        <v>39229</v>
      </c>
      <c r="I809" t="s">
        <v>199</v>
      </c>
      <c r="J809" t="s">
        <v>200</v>
      </c>
      <c r="K809" t="s">
        <v>260</v>
      </c>
      <c r="Q809" t="s">
        <v>212</v>
      </c>
      <c r="R809" t="str">
        <f>"КАЗАХСТАН, АКМОЛИНСКАЯ, СТЕПНОГОРСК, 22, 29"</f>
        <v>КАЗАХСТАН, АКМОЛИНСКАЯ, СТЕПНОГОРСК, 22, 29</v>
      </c>
      <c r="S809" t="str">
        <f>"ҚАЗАҚСТАН, АҚМОЛА, СТЕПНОГОР, 22, 29"</f>
        <v>ҚАЗАҚСТАН, АҚМОЛА, СТЕПНОГОР, 22, 29</v>
      </c>
      <c r="T809" t="str">
        <f>"22, 29"</f>
        <v>22, 29</v>
      </c>
      <c r="U809" t="str">
        <f>"22, 29"</f>
        <v>22, 29</v>
      </c>
      <c r="AC809" t="str">
        <f t="shared" si="40"/>
        <v>2023-08-25T00:00:00</v>
      </c>
      <c r="AD809" t="str">
        <f t="shared" si="41"/>
        <v>200</v>
      </c>
      <c r="AG809" t="s">
        <v>202</v>
      </c>
      <c r="AH809" t="str">
        <f t="shared" si="42"/>
        <v>ckool007@mail.ru</v>
      </c>
      <c r="AI809" t="s">
        <v>203</v>
      </c>
      <c r="AJ809" t="s">
        <v>1157</v>
      </c>
      <c r="AK809" t="s">
        <v>205</v>
      </c>
      <c r="AL809" t="s">
        <v>206</v>
      </c>
      <c r="AN809" t="s">
        <v>207</v>
      </c>
      <c r="AO809">
        <v>1</v>
      </c>
      <c r="AP809" t="s">
        <v>208</v>
      </c>
      <c r="AQ809" t="s">
        <v>209</v>
      </c>
      <c r="AR809" t="s">
        <v>210</v>
      </c>
      <c r="AW809" t="s">
        <v>206</v>
      </c>
      <c r="AX809" t="s">
        <v>211</v>
      </c>
      <c r="AZ809" t="s">
        <v>209</v>
      </c>
      <c r="BI809" t="s">
        <v>212</v>
      </c>
      <c r="BJ809" t="s">
        <v>213</v>
      </c>
      <c r="BK809" t="s">
        <v>214</v>
      </c>
      <c r="BL809" t="s">
        <v>215</v>
      </c>
      <c r="BN809" t="s">
        <v>216</v>
      </c>
      <c r="BO809" t="s">
        <v>209</v>
      </c>
      <c r="BP809" t="s">
        <v>217</v>
      </c>
      <c r="BQ809" t="s">
        <v>1537</v>
      </c>
      <c r="BS809" t="s">
        <v>219</v>
      </c>
      <c r="BT809" t="s">
        <v>220</v>
      </c>
      <c r="BU809" t="s">
        <v>206</v>
      </c>
      <c r="BX809" t="s">
        <v>221</v>
      </c>
      <c r="BY809" t="s">
        <v>221</v>
      </c>
      <c r="CA809" t="s">
        <v>222</v>
      </c>
      <c r="CB809" t="s">
        <v>223</v>
      </c>
      <c r="CC809" t="s">
        <v>224</v>
      </c>
      <c r="CD809" t="s">
        <v>223</v>
      </c>
      <c r="CE809" t="s">
        <v>242</v>
      </c>
      <c r="CJ809" t="s">
        <v>206</v>
      </c>
      <c r="CK809" t="s">
        <v>291</v>
      </c>
      <c r="CM809" t="s">
        <v>292</v>
      </c>
      <c r="CN809" t="s">
        <v>233</v>
      </c>
      <c r="CP809" t="s">
        <v>212</v>
      </c>
      <c r="CQ809" t="s">
        <v>212</v>
      </c>
      <c r="CR809" t="s">
        <v>212</v>
      </c>
      <c r="CS809" t="s">
        <v>212</v>
      </c>
      <c r="CY809" t="s">
        <v>212</v>
      </c>
      <c r="DB809" t="s">
        <v>234</v>
      </c>
      <c r="DE809" t="s">
        <v>212</v>
      </c>
      <c r="DF809" t="s">
        <v>212</v>
      </c>
      <c r="DG809" t="s">
        <v>235</v>
      </c>
      <c r="DH809" t="s">
        <v>212</v>
      </c>
      <c r="DJ809" t="s">
        <v>236</v>
      </c>
      <c r="DM809" t="s">
        <v>212</v>
      </c>
    </row>
    <row r="810" spans="1:117" x14ac:dyDescent="0.3">
      <c r="A810">
        <v>25513674</v>
      </c>
      <c r="B810">
        <v>316647</v>
      </c>
      <c r="C810" t="str">
        <f>"071013551182"</f>
        <v>071013551182</v>
      </c>
      <c r="D810" t="s">
        <v>2017</v>
      </c>
      <c r="E810" t="s">
        <v>1091</v>
      </c>
      <c r="F810" t="s">
        <v>1045</v>
      </c>
      <c r="G810" s="1">
        <v>39368</v>
      </c>
      <c r="I810" t="s">
        <v>240</v>
      </c>
      <c r="J810" t="s">
        <v>200</v>
      </c>
      <c r="K810" t="s">
        <v>268</v>
      </c>
      <c r="Q810" t="s">
        <v>212</v>
      </c>
      <c r="R810" t="str">
        <f>"КАЗАХСТАН, АКМОЛИНСКАЯ, СТЕПНОГОРСК, 12, 51"</f>
        <v>КАЗАХСТАН, АКМОЛИНСКАЯ, СТЕПНОГОРСК, 12, 51</v>
      </c>
      <c r="S810" t="str">
        <f>"ҚАЗАҚСТАН, АҚМОЛА, СТЕПНОГОР, 12, 51"</f>
        <v>ҚАЗАҚСТАН, АҚМОЛА, СТЕПНОГОР, 12, 51</v>
      </c>
      <c r="T810" t="str">
        <f>"12, 51"</f>
        <v>12, 51</v>
      </c>
      <c r="U810" t="str">
        <f>"12, 51"</f>
        <v>12, 51</v>
      </c>
      <c r="AC810" t="str">
        <f t="shared" si="40"/>
        <v>2023-08-25T00:00:00</v>
      </c>
      <c r="AD810" t="str">
        <f t="shared" si="41"/>
        <v>200</v>
      </c>
      <c r="AG810" t="s">
        <v>202</v>
      </c>
      <c r="AH810" t="str">
        <f t="shared" si="42"/>
        <v>ckool007@mail.ru</v>
      </c>
      <c r="AI810" t="s">
        <v>203</v>
      </c>
      <c r="AJ810" t="s">
        <v>1157</v>
      </c>
      <c r="AK810" t="s">
        <v>205</v>
      </c>
      <c r="AL810" t="s">
        <v>206</v>
      </c>
      <c r="AN810" t="s">
        <v>207</v>
      </c>
      <c r="AO810">
        <v>1</v>
      </c>
      <c r="AP810" t="s">
        <v>208</v>
      </c>
      <c r="AQ810" t="s">
        <v>209</v>
      </c>
      <c r="AR810" t="s">
        <v>210</v>
      </c>
      <c r="AW810" t="s">
        <v>206</v>
      </c>
      <c r="AX810" t="s">
        <v>211</v>
      </c>
      <c r="AZ810" t="s">
        <v>209</v>
      </c>
      <c r="BI810" t="s">
        <v>212</v>
      </c>
      <c r="BJ810" t="s">
        <v>213</v>
      </c>
      <c r="BK810" t="s">
        <v>214</v>
      </c>
      <c r="BL810" t="s">
        <v>215</v>
      </c>
      <c r="BN810" t="s">
        <v>216</v>
      </c>
      <c r="BO810" t="s">
        <v>209</v>
      </c>
      <c r="BP810" t="s">
        <v>241</v>
      </c>
      <c r="BQ810">
        <v>4</v>
      </c>
      <c r="BS810" t="s">
        <v>219</v>
      </c>
      <c r="BT810" t="s">
        <v>220</v>
      </c>
      <c r="BU810" t="s">
        <v>206</v>
      </c>
      <c r="BX810" t="s">
        <v>234</v>
      </c>
      <c r="BY810" t="s">
        <v>234</v>
      </c>
      <c r="CA810" t="s">
        <v>222</v>
      </c>
      <c r="CB810" t="s">
        <v>223</v>
      </c>
      <c r="CC810" t="s">
        <v>222</v>
      </c>
      <c r="CD810" t="s">
        <v>223</v>
      </c>
      <c r="CE810" t="s">
        <v>242</v>
      </c>
      <c r="CJ810" t="s">
        <v>206</v>
      </c>
      <c r="CK810" t="s">
        <v>291</v>
      </c>
      <c r="CM810" t="s">
        <v>292</v>
      </c>
      <c r="CN810" t="s">
        <v>233</v>
      </c>
      <c r="CP810" t="s">
        <v>212</v>
      </c>
      <c r="CQ810" t="s">
        <v>212</v>
      </c>
      <c r="CR810" t="s">
        <v>212</v>
      </c>
      <c r="CS810" t="s">
        <v>212</v>
      </c>
      <c r="CY810" t="s">
        <v>212</v>
      </c>
      <c r="DB810" t="s">
        <v>234</v>
      </c>
      <c r="DE810" t="s">
        <v>212</v>
      </c>
      <c r="DF810" t="s">
        <v>212</v>
      </c>
      <c r="DG810" t="s">
        <v>235</v>
      </c>
      <c r="DH810" t="s">
        <v>212</v>
      </c>
      <c r="DJ810" t="s">
        <v>236</v>
      </c>
      <c r="DM810" t="s">
        <v>212</v>
      </c>
    </row>
    <row r="811" spans="1:117" x14ac:dyDescent="0.3">
      <c r="A811">
        <v>25513675</v>
      </c>
      <c r="B811">
        <v>322428</v>
      </c>
      <c r="C811" t="str">
        <f>"080707652921"</f>
        <v>080707652921</v>
      </c>
      <c r="D811" t="s">
        <v>1047</v>
      </c>
      <c r="E811" t="s">
        <v>1217</v>
      </c>
      <c r="F811" t="s">
        <v>1049</v>
      </c>
      <c r="G811" s="1">
        <v>39636</v>
      </c>
      <c r="I811" t="s">
        <v>199</v>
      </c>
      <c r="J811" t="s">
        <v>200</v>
      </c>
      <c r="K811" t="s">
        <v>369</v>
      </c>
      <c r="Q811" t="s">
        <v>212</v>
      </c>
      <c r="R811" t="str">
        <f>"КАЗАХСТАН, АКМОЛИНСКАЯ, СТЕПНОГОРСК, -, 37, 77"</f>
        <v>КАЗАХСТАН, АКМОЛИНСКАЯ, СТЕПНОГОРСК, -, 37, 77</v>
      </c>
      <c r="S811" t="str">
        <f>"ҚАЗАҚСТАН, АҚМОЛА, СТЕПНОГОР, -, 37, 77"</f>
        <v>ҚАЗАҚСТАН, АҚМОЛА, СТЕПНОГОР, -, 37, 77</v>
      </c>
      <c r="T811" t="str">
        <f>"-, 37, 77"</f>
        <v>-, 37, 77</v>
      </c>
      <c r="U811" t="str">
        <f>"-, 37, 77"</f>
        <v>-, 37, 77</v>
      </c>
      <c r="AC811" t="str">
        <f t="shared" si="40"/>
        <v>2023-08-25T00:00:00</v>
      </c>
      <c r="AD811" t="str">
        <f t="shared" si="41"/>
        <v>200</v>
      </c>
      <c r="AG811" t="s">
        <v>333</v>
      </c>
      <c r="AH811" t="str">
        <f t="shared" si="42"/>
        <v>ckool007@mail.ru</v>
      </c>
      <c r="AI811" t="s">
        <v>299</v>
      </c>
      <c r="AJ811" t="s">
        <v>1157</v>
      </c>
      <c r="AK811" t="s">
        <v>205</v>
      </c>
      <c r="AL811" t="s">
        <v>206</v>
      </c>
      <c r="AN811" t="s">
        <v>207</v>
      </c>
      <c r="AO811">
        <v>1</v>
      </c>
      <c r="AP811" t="s">
        <v>208</v>
      </c>
      <c r="AQ811" t="s">
        <v>209</v>
      </c>
      <c r="AR811" t="s">
        <v>210</v>
      </c>
      <c r="AW811" t="s">
        <v>206</v>
      </c>
      <c r="AX811" t="s">
        <v>211</v>
      </c>
      <c r="AZ811" t="s">
        <v>209</v>
      </c>
      <c r="BI811" t="s">
        <v>212</v>
      </c>
      <c r="BJ811" t="s">
        <v>213</v>
      </c>
      <c r="BK811" t="s">
        <v>214</v>
      </c>
      <c r="BL811" t="s">
        <v>215</v>
      </c>
      <c r="BN811" t="s">
        <v>216</v>
      </c>
      <c r="BO811" t="s">
        <v>209</v>
      </c>
      <c r="BP811" t="s">
        <v>241</v>
      </c>
      <c r="BQ811">
        <v>4</v>
      </c>
      <c r="BS811" t="s">
        <v>219</v>
      </c>
      <c r="BT811" t="s">
        <v>220</v>
      </c>
      <c r="BU811" t="s">
        <v>206</v>
      </c>
      <c r="BX811" t="s">
        <v>234</v>
      </c>
      <c r="BY811" t="s">
        <v>234</v>
      </c>
      <c r="CA811" t="s">
        <v>222</v>
      </c>
      <c r="CB811" t="s">
        <v>223</v>
      </c>
      <c r="CC811" t="s">
        <v>209</v>
      </c>
      <c r="CE811" t="s">
        <v>225</v>
      </c>
      <c r="CF811" t="s">
        <v>226</v>
      </c>
      <c r="CG811" t="s">
        <v>227</v>
      </c>
      <c r="CH811" t="s">
        <v>209</v>
      </c>
      <c r="CI811" t="s">
        <v>2018</v>
      </c>
      <c r="CJ811" t="s">
        <v>206</v>
      </c>
      <c r="CK811" t="s">
        <v>291</v>
      </c>
      <c r="CM811" t="s">
        <v>292</v>
      </c>
      <c r="CN811" t="s">
        <v>233</v>
      </c>
      <c r="CP811" t="s">
        <v>212</v>
      </c>
      <c r="CQ811" t="s">
        <v>212</v>
      </c>
      <c r="CR811" t="s">
        <v>212</v>
      </c>
      <c r="CS811" t="s">
        <v>212</v>
      </c>
      <c r="CY811" t="s">
        <v>212</v>
      </c>
      <c r="DB811" t="s">
        <v>234</v>
      </c>
      <c r="DE811" t="s">
        <v>212</v>
      </c>
      <c r="DF811" t="s">
        <v>212</v>
      </c>
      <c r="DG811" t="s">
        <v>235</v>
      </c>
      <c r="DH811" t="s">
        <v>212</v>
      </c>
      <c r="DJ811" t="s">
        <v>236</v>
      </c>
      <c r="DM811" t="s">
        <v>212</v>
      </c>
    </row>
    <row r="812" spans="1:117" x14ac:dyDescent="0.3">
      <c r="A812">
        <v>25513676</v>
      </c>
      <c r="B812">
        <v>317720</v>
      </c>
      <c r="C812" t="str">
        <f>"071109551174"</f>
        <v>071109551174</v>
      </c>
      <c r="D812" t="s">
        <v>2019</v>
      </c>
      <c r="E812" t="s">
        <v>1338</v>
      </c>
      <c r="F812" t="s">
        <v>2020</v>
      </c>
      <c r="G812" s="1">
        <v>39395</v>
      </c>
      <c r="I812" t="s">
        <v>240</v>
      </c>
      <c r="J812" t="s">
        <v>200</v>
      </c>
      <c r="K812" t="s">
        <v>201</v>
      </c>
      <c r="Q812" t="s">
        <v>212</v>
      </c>
      <c r="R812" t="str">
        <f>"КАЗАХСТАН, АКМОЛИНСКАЯ, СТЕПНОГОРСК, 33, 39"</f>
        <v>КАЗАХСТАН, АКМОЛИНСКАЯ, СТЕПНОГОРСК, 33, 39</v>
      </c>
      <c r="S812" t="str">
        <f>"ҚАЗАҚСТАН, АҚМОЛА, СТЕПНОГОР, 33, 39"</f>
        <v>ҚАЗАҚСТАН, АҚМОЛА, СТЕПНОГОР, 33, 39</v>
      </c>
      <c r="T812" t="str">
        <f>"33, 39"</f>
        <v>33, 39</v>
      </c>
      <c r="U812" t="str">
        <f>"33, 39"</f>
        <v>33, 39</v>
      </c>
      <c r="AC812" t="str">
        <f t="shared" si="40"/>
        <v>2023-08-25T00:00:00</v>
      </c>
      <c r="AD812" t="str">
        <f t="shared" si="41"/>
        <v>200</v>
      </c>
      <c r="AG812" t="s">
        <v>202</v>
      </c>
      <c r="AH812" t="str">
        <f t="shared" si="42"/>
        <v>ckool007@mail.ru</v>
      </c>
      <c r="AI812" t="s">
        <v>203</v>
      </c>
      <c r="AJ812" t="s">
        <v>1157</v>
      </c>
      <c r="AK812" t="s">
        <v>205</v>
      </c>
      <c r="AL812" t="s">
        <v>206</v>
      </c>
      <c r="AN812" t="s">
        <v>207</v>
      </c>
      <c r="AO812">
        <v>1</v>
      </c>
      <c r="AP812" t="s">
        <v>208</v>
      </c>
      <c r="AQ812" t="s">
        <v>209</v>
      </c>
      <c r="AR812" t="s">
        <v>210</v>
      </c>
      <c r="AW812" t="s">
        <v>206</v>
      </c>
      <c r="AX812" t="s">
        <v>211</v>
      </c>
      <c r="AZ812" t="s">
        <v>209</v>
      </c>
      <c r="BI812" t="s">
        <v>212</v>
      </c>
      <c r="BJ812" t="s">
        <v>213</v>
      </c>
      <c r="BK812" t="s">
        <v>214</v>
      </c>
      <c r="BL812" t="s">
        <v>215</v>
      </c>
      <c r="BN812" t="s">
        <v>216</v>
      </c>
      <c r="BO812" t="s">
        <v>209</v>
      </c>
      <c r="BP812" t="s">
        <v>241</v>
      </c>
      <c r="BQ812">
        <v>4</v>
      </c>
      <c r="BS812" t="s">
        <v>219</v>
      </c>
      <c r="BT812" t="s">
        <v>220</v>
      </c>
      <c r="BU812" t="s">
        <v>206</v>
      </c>
      <c r="BX812" t="s">
        <v>221</v>
      </c>
      <c r="BY812" t="s">
        <v>221</v>
      </c>
      <c r="CA812" t="s">
        <v>222</v>
      </c>
      <c r="CB812" t="s">
        <v>223</v>
      </c>
      <c r="CC812" t="s">
        <v>209</v>
      </c>
      <c r="CE812" t="s">
        <v>242</v>
      </c>
      <c r="CJ812" t="s">
        <v>206</v>
      </c>
      <c r="CK812" t="s">
        <v>291</v>
      </c>
      <c r="CM812" t="s">
        <v>292</v>
      </c>
      <c r="CN812" t="s">
        <v>233</v>
      </c>
      <c r="CP812" t="s">
        <v>212</v>
      </c>
      <c r="CQ812" t="s">
        <v>212</v>
      </c>
      <c r="CR812" t="s">
        <v>212</v>
      </c>
      <c r="CS812" t="s">
        <v>212</v>
      </c>
      <c r="CY812" t="s">
        <v>212</v>
      </c>
      <c r="DB812" t="s">
        <v>234</v>
      </c>
      <c r="DE812" t="s">
        <v>212</v>
      </c>
      <c r="DF812" t="s">
        <v>212</v>
      </c>
      <c r="DG812" t="s">
        <v>235</v>
      </c>
      <c r="DH812" t="s">
        <v>212</v>
      </c>
      <c r="DJ812" t="s">
        <v>236</v>
      </c>
      <c r="DM812" t="s">
        <v>212</v>
      </c>
    </row>
    <row r="813" spans="1:117" x14ac:dyDescent="0.3">
      <c r="A813">
        <v>25513677</v>
      </c>
      <c r="B813">
        <v>316587</v>
      </c>
      <c r="C813" t="str">
        <f>"071126554578"</f>
        <v>071126554578</v>
      </c>
      <c r="D813" t="s">
        <v>1102</v>
      </c>
      <c r="E813" t="s">
        <v>1494</v>
      </c>
      <c r="F813" t="s">
        <v>1117</v>
      </c>
      <c r="G813" s="1">
        <v>39412</v>
      </c>
      <c r="I813" t="s">
        <v>240</v>
      </c>
      <c r="J813" t="s">
        <v>200</v>
      </c>
      <c r="K813" t="s">
        <v>201</v>
      </c>
      <c r="Q813" t="s">
        <v>212</v>
      </c>
      <c r="R813" t="str">
        <f>"КАЗАХСТАН, АКМОЛИНСКАЯ, СТЕПНОГОРСК, 13, 58"</f>
        <v>КАЗАХСТАН, АКМОЛИНСКАЯ, СТЕПНОГОРСК, 13, 58</v>
      </c>
      <c r="S813" t="str">
        <f>"ҚАЗАҚСТАН, АҚМОЛА, СТЕПНОГОР, 13, 58"</f>
        <v>ҚАЗАҚСТАН, АҚМОЛА, СТЕПНОГОР, 13, 58</v>
      </c>
      <c r="T813" t="str">
        <f>"13, 58"</f>
        <v>13, 58</v>
      </c>
      <c r="U813" t="str">
        <f>"13, 58"</f>
        <v>13, 58</v>
      </c>
      <c r="AC813" t="str">
        <f t="shared" si="40"/>
        <v>2023-08-25T00:00:00</v>
      </c>
      <c r="AD813" t="str">
        <f t="shared" si="41"/>
        <v>200</v>
      </c>
      <c r="AE813" t="str">
        <f>"2023-09-01T01:35:09"</f>
        <v>2023-09-01T01:35:09</v>
      </c>
      <c r="AF813" t="str">
        <f>"2024-05-25T01:35:09"</f>
        <v>2024-05-25T01:35:09</v>
      </c>
      <c r="AG813" t="s">
        <v>202</v>
      </c>
      <c r="AH813" t="str">
        <f t="shared" si="42"/>
        <v>ckool007@mail.ru</v>
      </c>
      <c r="AI813" t="s">
        <v>203</v>
      </c>
      <c r="AJ813" t="s">
        <v>1157</v>
      </c>
      <c r="AK813" t="s">
        <v>205</v>
      </c>
      <c r="AL813" t="s">
        <v>206</v>
      </c>
      <c r="AN813" t="s">
        <v>207</v>
      </c>
      <c r="AO813">
        <v>1</v>
      </c>
      <c r="AP813" t="s">
        <v>208</v>
      </c>
      <c r="AQ813" t="s">
        <v>209</v>
      </c>
      <c r="AR813" t="s">
        <v>307</v>
      </c>
      <c r="AW813" t="s">
        <v>206</v>
      </c>
      <c r="AX813" t="s">
        <v>211</v>
      </c>
      <c r="AZ813" t="s">
        <v>209</v>
      </c>
      <c r="BI813" t="s">
        <v>212</v>
      </c>
      <c r="BJ813" t="s">
        <v>213</v>
      </c>
      <c r="BK813" t="s">
        <v>214</v>
      </c>
      <c r="BL813" t="s">
        <v>215</v>
      </c>
      <c r="BN813" t="s">
        <v>216</v>
      </c>
      <c r="BO813" t="s">
        <v>209</v>
      </c>
      <c r="BP813" t="s">
        <v>241</v>
      </c>
      <c r="BQ813">
        <v>4</v>
      </c>
      <c r="BS813" t="s">
        <v>219</v>
      </c>
      <c r="BT813" t="s">
        <v>220</v>
      </c>
      <c r="BU813" t="s">
        <v>206</v>
      </c>
      <c r="BX813" t="s">
        <v>221</v>
      </c>
      <c r="BY813" t="s">
        <v>221</v>
      </c>
      <c r="CA813" t="s">
        <v>222</v>
      </c>
      <c r="CB813" t="s">
        <v>223</v>
      </c>
      <c r="CC813" t="s">
        <v>334</v>
      </c>
      <c r="CD813" t="s">
        <v>223</v>
      </c>
      <c r="CE813" t="s">
        <v>242</v>
      </c>
      <c r="CJ813" t="s">
        <v>206</v>
      </c>
      <c r="CK813" t="s">
        <v>291</v>
      </c>
      <c r="CM813" t="s">
        <v>292</v>
      </c>
      <c r="CN813" t="s">
        <v>233</v>
      </c>
      <c r="CP813" t="s">
        <v>212</v>
      </c>
      <c r="CQ813" t="s">
        <v>212</v>
      </c>
      <c r="CR813" t="s">
        <v>212</v>
      </c>
      <c r="CS813" t="s">
        <v>212</v>
      </c>
      <c r="CY813" t="s">
        <v>212</v>
      </c>
      <c r="DB813" t="s">
        <v>234</v>
      </c>
      <c r="DE813" t="s">
        <v>212</v>
      </c>
      <c r="DF813" t="s">
        <v>212</v>
      </c>
      <c r="DG813" t="s">
        <v>235</v>
      </c>
      <c r="DH813" t="s">
        <v>212</v>
      </c>
      <c r="DJ813" t="s">
        <v>236</v>
      </c>
      <c r="DM813" t="s">
        <v>206</v>
      </c>
    </row>
    <row r="814" spans="1:117" x14ac:dyDescent="0.3">
      <c r="A814">
        <v>25513679</v>
      </c>
      <c r="B814">
        <v>310855</v>
      </c>
      <c r="C814" t="str">
        <f>"070706551602"</f>
        <v>070706551602</v>
      </c>
      <c r="D814" t="s">
        <v>2021</v>
      </c>
      <c r="E814" t="s">
        <v>538</v>
      </c>
      <c r="F814" t="s">
        <v>1738</v>
      </c>
      <c r="G814" s="1">
        <v>39269</v>
      </c>
      <c r="I814" t="s">
        <v>240</v>
      </c>
      <c r="J814" t="s">
        <v>200</v>
      </c>
      <c r="K814" t="s">
        <v>260</v>
      </c>
      <c r="Q814" t="s">
        <v>212</v>
      </c>
      <c r="R814" t="str">
        <f>"КАЗАХСТАН, АКМОЛИНСКАЯ, СТЕПНОГОРСК, 39, 29"</f>
        <v>КАЗАХСТАН, АКМОЛИНСКАЯ, СТЕПНОГОРСК, 39, 29</v>
      </c>
      <c r="S814" t="str">
        <f>"ҚАЗАҚСТАН, АҚМОЛА, СТЕПНОГОР, 39, 29"</f>
        <v>ҚАЗАҚСТАН, АҚМОЛА, СТЕПНОГОР, 39, 29</v>
      </c>
      <c r="T814" t="str">
        <f>"39, 29"</f>
        <v>39, 29</v>
      </c>
      <c r="U814" t="str">
        <f>"39, 29"</f>
        <v>39, 29</v>
      </c>
      <c r="AC814" t="str">
        <f t="shared" si="40"/>
        <v>2023-08-25T00:00:00</v>
      </c>
      <c r="AD814" t="str">
        <f t="shared" si="41"/>
        <v>200</v>
      </c>
      <c r="AG814" t="s">
        <v>530</v>
      </c>
      <c r="AH814" t="str">
        <f t="shared" si="42"/>
        <v>ckool007@mail.ru</v>
      </c>
      <c r="AI814" t="s">
        <v>203</v>
      </c>
      <c r="AJ814" t="s">
        <v>1157</v>
      </c>
      <c r="AK814" t="s">
        <v>205</v>
      </c>
      <c r="AL814" t="s">
        <v>206</v>
      </c>
      <c r="AN814" t="s">
        <v>207</v>
      </c>
      <c r="AO814">
        <v>1</v>
      </c>
      <c r="AP814" t="s">
        <v>208</v>
      </c>
      <c r="AQ814" t="s">
        <v>209</v>
      </c>
      <c r="AR814" t="s">
        <v>210</v>
      </c>
      <c r="AW814" t="s">
        <v>206</v>
      </c>
      <c r="AX814" t="s">
        <v>211</v>
      </c>
      <c r="AZ814" t="s">
        <v>209</v>
      </c>
      <c r="BI814" t="s">
        <v>212</v>
      </c>
      <c r="BJ814" t="s">
        <v>213</v>
      </c>
      <c r="BK814" t="s">
        <v>214</v>
      </c>
      <c r="BL814" t="s">
        <v>215</v>
      </c>
      <c r="BN814" t="s">
        <v>281</v>
      </c>
      <c r="BO814" t="s">
        <v>209</v>
      </c>
      <c r="BP814" t="s">
        <v>241</v>
      </c>
      <c r="BQ814">
        <v>5</v>
      </c>
      <c r="BS814" t="s">
        <v>219</v>
      </c>
      <c r="BT814" t="s">
        <v>220</v>
      </c>
      <c r="BU814" t="s">
        <v>206</v>
      </c>
      <c r="BX814" t="s">
        <v>221</v>
      </c>
      <c r="BY814" t="s">
        <v>221</v>
      </c>
      <c r="CA814" t="s">
        <v>222</v>
      </c>
      <c r="CB814" t="s">
        <v>223</v>
      </c>
      <c r="CC814" t="s">
        <v>209</v>
      </c>
      <c r="CE814" t="s">
        <v>225</v>
      </c>
      <c r="CF814" t="s">
        <v>226</v>
      </c>
      <c r="CG814" t="s">
        <v>227</v>
      </c>
      <c r="CH814" t="s">
        <v>209</v>
      </c>
      <c r="CI814" t="s">
        <v>2022</v>
      </c>
      <c r="CJ814" t="s">
        <v>206</v>
      </c>
      <c r="CK814" t="s">
        <v>291</v>
      </c>
      <c r="CM814" t="s">
        <v>292</v>
      </c>
      <c r="CN814" t="s">
        <v>233</v>
      </c>
      <c r="CP814" t="s">
        <v>212</v>
      </c>
      <c r="CQ814" t="s">
        <v>212</v>
      </c>
      <c r="CR814" t="s">
        <v>212</v>
      </c>
      <c r="CS814" t="s">
        <v>212</v>
      </c>
      <c r="CY814" t="s">
        <v>212</v>
      </c>
      <c r="DB814" t="s">
        <v>234</v>
      </c>
      <c r="DE814" t="s">
        <v>212</v>
      </c>
      <c r="DF814" t="s">
        <v>212</v>
      </c>
      <c r="DG814" t="s">
        <v>235</v>
      </c>
      <c r="DH814" t="s">
        <v>212</v>
      </c>
      <c r="DJ814" t="s">
        <v>236</v>
      </c>
      <c r="DM814" t="s">
        <v>212</v>
      </c>
    </row>
    <row r="815" spans="1:117" x14ac:dyDescent="0.3">
      <c r="A815">
        <v>25513680</v>
      </c>
      <c r="B815">
        <v>309641</v>
      </c>
      <c r="C815" t="str">
        <f>"080418653483"</f>
        <v>080418653483</v>
      </c>
      <c r="D815" t="s">
        <v>2023</v>
      </c>
      <c r="E815" t="s">
        <v>2024</v>
      </c>
      <c r="F815" t="s">
        <v>805</v>
      </c>
      <c r="G815" s="1">
        <v>39556</v>
      </c>
      <c r="I815" t="s">
        <v>199</v>
      </c>
      <c r="J815" t="s">
        <v>200</v>
      </c>
      <c r="K815" t="s">
        <v>260</v>
      </c>
      <c r="Q815" t="s">
        <v>212</v>
      </c>
      <c r="R815" t="str">
        <f>"КАЗАХСТАН, АКМОЛИНСКАЯ, СТЕПНОГОРСК, 87, 45"</f>
        <v>КАЗАХСТАН, АКМОЛИНСКАЯ, СТЕПНОГОРСК, 87, 45</v>
      </c>
      <c r="S815" t="str">
        <f>"ҚАЗАҚСТАН, АҚМОЛА, СТЕПНОГОР, 87, 45"</f>
        <v>ҚАЗАҚСТАН, АҚМОЛА, СТЕПНОГОР, 87, 45</v>
      </c>
      <c r="T815" t="str">
        <f>"87, 45"</f>
        <v>87, 45</v>
      </c>
      <c r="U815" t="str">
        <f>"87, 45"</f>
        <v>87, 45</v>
      </c>
      <c r="AC815" t="str">
        <f t="shared" si="40"/>
        <v>2023-08-25T00:00:00</v>
      </c>
      <c r="AD815" t="str">
        <f t="shared" si="41"/>
        <v>200</v>
      </c>
      <c r="AG815" t="s">
        <v>202</v>
      </c>
      <c r="AH815" t="str">
        <f t="shared" si="42"/>
        <v>ckool007@mail.ru</v>
      </c>
      <c r="AI815" t="s">
        <v>203</v>
      </c>
      <c r="AJ815" t="s">
        <v>1157</v>
      </c>
      <c r="AK815" t="s">
        <v>205</v>
      </c>
      <c r="AL815" t="s">
        <v>206</v>
      </c>
      <c r="AN815" t="s">
        <v>207</v>
      </c>
      <c r="AO815">
        <v>1</v>
      </c>
      <c r="AP815" t="s">
        <v>208</v>
      </c>
      <c r="AQ815" t="s">
        <v>209</v>
      </c>
      <c r="AR815" t="s">
        <v>210</v>
      </c>
      <c r="AW815" t="s">
        <v>206</v>
      </c>
      <c r="AX815" t="s">
        <v>211</v>
      </c>
      <c r="AZ815" t="s">
        <v>209</v>
      </c>
      <c r="BI815" t="s">
        <v>212</v>
      </c>
      <c r="BJ815" t="s">
        <v>213</v>
      </c>
      <c r="BK815" t="s">
        <v>214</v>
      </c>
      <c r="BL815" t="s">
        <v>215</v>
      </c>
      <c r="BN815" t="s">
        <v>247</v>
      </c>
      <c r="BO815" t="s">
        <v>209</v>
      </c>
      <c r="BP815" t="s">
        <v>217</v>
      </c>
      <c r="BQ815" t="s">
        <v>2025</v>
      </c>
      <c r="BS815" t="s">
        <v>219</v>
      </c>
      <c r="BT815" t="s">
        <v>220</v>
      </c>
      <c r="BU815" t="s">
        <v>206</v>
      </c>
      <c r="BX815" t="s">
        <v>221</v>
      </c>
      <c r="BY815" t="s">
        <v>221</v>
      </c>
      <c r="CA815" t="s">
        <v>222</v>
      </c>
      <c r="CB815" t="s">
        <v>223</v>
      </c>
      <c r="CC815" t="s">
        <v>224</v>
      </c>
      <c r="CD815" t="s">
        <v>223</v>
      </c>
      <c r="CE815" t="s">
        <v>242</v>
      </c>
      <c r="CJ815" t="s">
        <v>206</v>
      </c>
      <c r="CK815" t="s">
        <v>291</v>
      </c>
      <c r="CM815" t="s">
        <v>292</v>
      </c>
      <c r="CN815" t="s">
        <v>233</v>
      </c>
      <c r="CP815" t="s">
        <v>212</v>
      </c>
      <c r="CQ815" t="s">
        <v>212</v>
      </c>
      <c r="CR815" t="s">
        <v>212</v>
      </c>
      <c r="CS815" t="s">
        <v>212</v>
      </c>
      <c r="CY815" t="s">
        <v>212</v>
      </c>
      <c r="DB815" t="s">
        <v>234</v>
      </c>
      <c r="DE815" t="s">
        <v>212</v>
      </c>
      <c r="DF815" t="s">
        <v>212</v>
      </c>
      <c r="DG815" t="s">
        <v>235</v>
      </c>
      <c r="DH815" t="s">
        <v>212</v>
      </c>
      <c r="DJ815" t="s">
        <v>236</v>
      </c>
      <c r="DM815" t="s">
        <v>212</v>
      </c>
    </row>
    <row r="816" spans="1:117" x14ac:dyDescent="0.3">
      <c r="A816">
        <v>25513681</v>
      </c>
      <c r="B816">
        <v>308772</v>
      </c>
      <c r="C816" t="str">
        <f>"071102551334"</f>
        <v>071102551334</v>
      </c>
      <c r="D816" t="s">
        <v>2026</v>
      </c>
      <c r="E816" t="s">
        <v>793</v>
      </c>
      <c r="F816" t="s">
        <v>533</v>
      </c>
      <c r="G816" s="1">
        <v>39388</v>
      </c>
      <c r="I816" t="s">
        <v>240</v>
      </c>
      <c r="J816" t="s">
        <v>200</v>
      </c>
      <c r="K816" t="s">
        <v>260</v>
      </c>
      <c r="Q816" t="s">
        <v>212</v>
      </c>
      <c r="R816" t="str">
        <f>"КАЗАХСТАН, АКМОЛИНСКАЯ, СТЕПНОГОРСК, 19, 51"</f>
        <v>КАЗАХСТАН, АКМОЛИНСКАЯ, СТЕПНОГОРСК, 19, 51</v>
      </c>
      <c r="S816" t="str">
        <f>"ҚАЗАҚСТАН, АҚМОЛА, СТЕПНОГОР, 19, 51"</f>
        <v>ҚАЗАҚСТАН, АҚМОЛА, СТЕПНОГОР, 19, 51</v>
      </c>
      <c r="T816" t="str">
        <f>"19, 51"</f>
        <v>19, 51</v>
      </c>
      <c r="U816" t="str">
        <f>"19, 51"</f>
        <v>19, 51</v>
      </c>
      <c r="AC816" t="str">
        <f t="shared" si="40"/>
        <v>2023-08-25T00:00:00</v>
      </c>
      <c r="AD816" t="str">
        <f t="shared" si="41"/>
        <v>200</v>
      </c>
      <c r="AG816" t="s">
        <v>202</v>
      </c>
      <c r="AH816" t="str">
        <f t="shared" si="42"/>
        <v>ckool007@mail.ru</v>
      </c>
      <c r="AI816" t="s">
        <v>203</v>
      </c>
      <c r="AJ816" t="s">
        <v>1157</v>
      </c>
      <c r="AK816" t="s">
        <v>205</v>
      </c>
      <c r="AL816" t="s">
        <v>206</v>
      </c>
      <c r="AN816" t="s">
        <v>207</v>
      </c>
      <c r="AO816">
        <v>1</v>
      </c>
      <c r="AP816" t="s">
        <v>208</v>
      </c>
      <c r="AQ816" t="s">
        <v>209</v>
      </c>
      <c r="AR816" t="s">
        <v>210</v>
      </c>
      <c r="AW816" t="s">
        <v>206</v>
      </c>
      <c r="AX816" t="s">
        <v>211</v>
      </c>
      <c r="AZ816" t="s">
        <v>209</v>
      </c>
      <c r="BI816" t="s">
        <v>212</v>
      </c>
      <c r="BJ816" t="s">
        <v>213</v>
      </c>
      <c r="BK816" t="s">
        <v>214</v>
      </c>
      <c r="BL816" t="s">
        <v>215</v>
      </c>
      <c r="BN816" t="s">
        <v>216</v>
      </c>
      <c r="BO816" t="s">
        <v>209</v>
      </c>
      <c r="BP816" t="s">
        <v>241</v>
      </c>
      <c r="BQ816">
        <v>4</v>
      </c>
      <c r="BS816" t="s">
        <v>219</v>
      </c>
      <c r="BT816" t="s">
        <v>220</v>
      </c>
      <c r="BU816" t="s">
        <v>206</v>
      </c>
      <c r="BX816" t="s">
        <v>221</v>
      </c>
      <c r="BY816" t="s">
        <v>221</v>
      </c>
      <c r="CA816" t="s">
        <v>222</v>
      </c>
      <c r="CB816" t="s">
        <v>223</v>
      </c>
      <c r="CC816" t="s">
        <v>317</v>
      </c>
      <c r="CD816" t="s">
        <v>223</v>
      </c>
      <c r="CE816" t="s">
        <v>242</v>
      </c>
      <c r="CJ816" t="s">
        <v>206</v>
      </c>
      <c r="CK816" t="s">
        <v>291</v>
      </c>
      <c r="CM816" t="s">
        <v>292</v>
      </c>
      <c r="CN816" t="s">
        <v>233</v>
      </c>
      <c r="CP816" t="s">
        <v>212</v>
      </c>
      <c r="CQ816" t="s">
        <v>212</v>
      </c>
      <c r="CR816" t="s">
        <v>212</v>
      </c>
      <c r="CS816" t="s">
        <v>212</v>
      </c>
      <c r="CY816" t="s">
        <v>212</v>
      </c>
      <c r="DB816" t="s">
        <v>234</v>
      </c>
      <c r="DE816" t="s">
        <v>212</v>
      </c>
      <c r="DF816" t="s">
        <v>212</v>
      </c>
      <c r="DG816" t="s">
        <v>235</v>
      </c>
      <c r="DH816" t="s">
        <v>212</v>
      </c>
      <c r="DJ816" t="s">
        <v>236</v>
      </c>
      <c r="DM816" t="s">
        <v>212</v>
      </c>
    </row>
    <row r="817" spans="1:117" x14ac:dyDescent="0.3">
      <c r="A817">
        <v>25513729</v>
      </c>
      <c r="B817">
        <v>347005</v>
      </c>
      <c r="C817" t="str">
        <f>"070924553753"</f>
        <v>070924553753</v>
      </c>
      <c r="D817" t="s">
        <v>2027</v>
      </c>
      <c r="E817" t="s">
        <v>1397</v>
      </c>
      <c r="F817" t="s">
        <v>2028</v>
      </c>
      <c r="G817" s="1">
        <v>39349</v>
      </c>
      <c r="I817" t="s">
        <v>240</v>
      </c>
      <c r="J817" t="s">
        <v>200</v>
      </c>
      <c r="K817" t="s">
        <v>260</v>
      </c>
      <c r="Q817" t="s">
        <v>212</v>
      </c>
      <c r="R817" t="str">
        <f>"КАЗАХСТАН, АКМОЛИНСКАЯ, СТЕПНОГОРСК, 86, 47"</f>
        <v>КАЗАХСТАН, АКМОЛИНСКАЯ, СТЕПНОГОРСК, 86, 47</v>
      </c>
      <c r="S817" t="str">
        <f>"ҚАЗАҚСТАН, АҚМОЛА, СТЕПНОГОР, 86, 47"</f>
        <v>ҚАЗАҚСТАН, АҚМОЛА, СТЕПНОГОР, 86, 47</v>
      </c>
      <c r="T817" t="str">
        <f>"86, 47"</f>
        <v>86, 47</v>
      </c>
      <c r="U817" t="str">
        <f>"86, 47"</f>
        <v>86, 47</v>
      </c>
      <c r="AC817" t="str">
        <f t="shared" si="40"/>
        <v>2023-08-25T00:00:00</v>
      </c>
      <c r="AD817" t="str">
        <f t="shared" si="41"/>
        <v>200</v>
      </c>
      <c r="AG817" t="s">
        <v>202</v>
      </c>
      <c r="AH817" t="str">
        <f>"step_myschool8@mail.ru"</f>
        <v>step_myschool8@mail.ru</v>
      </c>
      <c r="AI817" t="s">
        <v>299</v>
      </c>
      <c r="AJ817" t="s">
        <v>1157</v>
      </c>
      <c r="AK817" t="s">
        <v>205</v>
      </c>
      <c r="AL817" t="s">
        <v>206</v>
      </c>
      <c r="AN817" t="s">
        <v>207</v>
      </c>
      <c r="AO817">
        <v>1</v>
      </c>
      <c r="AP817" t="s">
        <v>208</v>
      </c>
      <c r="AQ817" t="s">
        <v>209</v>
      </c>
      <c r="AR817" t="s">
        <v>210</v>
      </c>
      <c r="AW817" t="s">
        <v>206</v>
      </c>
      <c r="AX817" t="s">
        <v>211</v>
      </c>
      <c r="AZ817" t="s">
        <v>209</v>
      </c>
      <c r="BI817" t="s">
        <v>212</v>
      </c>
      <c r="BJ817" t="s">
        <v>213</v>
      </c>
      <c r="BK817" t="s">
        <v>214</v>
      </c>
      <c r="BL817" t="s">
        <v>215</v>
      </c>
      <c r="BN817" t="s">
        <v>247</v>
      </c>
      <c r="BO817" t="s">
        <v>209</v>
      </c>
      <c r="BP817" t="s">
        <v>217</v>
      </c>
      <c r="BQ817" t="s">
        <v>248</v>
      </c>
      <c r="BS817" t="s">
        <v>219</v>
      </c>
      <c r="BT817" t="s">
        <v>220</v>
      </c>
      <c r="BU817" t="s">
        <v>206</v>
      </c>
      <c r="CA817" t="s">
        <v>287</v>
      </c>
      <c r="CC817" t="s">
        <v>209</v>
      </c>
      <c r="CE817" t="s">
        <v>242</v>
      </c>
      <c r="CJ817" t="s">
        <v>206</v>
      </c>
      <c r="CK817" t="s">
        <v>291</v>
      </c>
      <c r="CM817" t="s">
        <v>292</v>
      </c>
      <c r="CN817" t="s">
        <v>233</v>
      </c>
      <c r="CP817" t="s">
        <v>212</v>
      </c>
      <c r="CQ817" t="s">
        <v>212</v>
      </c>
      <c r="CR817" t="s">
        <v>212</v>
      </c>
      <c r="CS817" t="s">
        <v>212</v>
      </c>
      <c r="CY817" t="s">
        <v>212</v>
      </c>
      <c r="DB817" t="s">
        <v>234</v>
      </c>
      <c r="DE817" t="s">
        <v>212</v>
      </c>
      <c r="DF817" t="s">
        <v>212</v>
      </c>
      <c r="DG817" t="s">
        <v>235</v>
      </c>
      <c r="DH817" t="s">
        <v>212</v>
      </c>
      <c r="DJ817" t="s">
        <v>236</v>
      </c>
      <c r="DM817" t="s">
        <v>212</v>
      </c>
    </row>
    <row r="818" spans="1:117" x14ac:dyDescent="0.3">
      <c r="A818">
        <v>25565770</v>
      </c>
      <c r="B818">
        <v>8925836</v>
      </c>
      <c r="C818" t="str">
        <f>"170207000073"</f>
        <v>170207000073</v>
      </c>
      <c r="D818" t="s">
        <v>2029</v>
      </c>
      <c r="E818" t="s">
        <v>1474</v>
      </c>
      <c r="F818" t="s">
        <v>2030</v>
      </c>
      <c r="G818" s="1">
        <v>42773</v>
      </c>
      <c r="I818" t="s">
        <v>199</v>
      </c>
      <c r="J818" t="s">
        <v>200</v>
      </c>
      <c r="K818" t="s">
        <v>201</v>
      </c>
      <c r="L818" t="s">
        <v>212</v>
      </c>
      <c r="Q818" t="s">
        <v>212</v>
      </c>
      <c r="R818" t="str">
        <f>"КАЗАХСТАН, АКМОЛИНСКАЯ, СТЕПНОГОРСК, 86, 92"</f>
        <v>КАЗАХСТАН, АКМОЛИНСКАЯ, СТЕПНОГОРСК, 86, 92</v>
      </c>
      <c r="S818" t="str">
        <f>"ҚАЗАҚСТАН, АҚМОЛА, СТЕПНОГОР, 86, 92"</f>
        <v>ҚАЗАҚСТАН, АҚМОЛА, СТЕПНОГОР, 86, 92</v>
      </c>
      <c r="T818" t="str">
        <f>"86, 92"</f>
        <v>86, 92</v>
      </c>
      <c r="U818" t="str">
        <f>"86, 92"</f>
        <v>86, 92</v>
      </c>
      <c r="AC818" t="str">
        <f t="shared" si="40"/>
        <v>2023-08-25T00:00:00</v>
      </c>
      <c r="AD818" t="str">
        <f>"201"</f>
        <v>201</v>
      </c>
      <c r="AG818" t="s">
        <v>202</v>
      </c>
      <c r="AI818" t="s">
        <v>274</v>
      </c>
      <c r="AJ818" t="s">
        <v>660</v>
      </c>
      <c r="AK818" t="s">
        <v>253</v>
      </c>
      <c r="AL818" t="s">
        <v>206</v>
      </c>
      <c r="AN818" t="s">
        <v>254</v>
      </c>
      <c r="AO818">
        <v>1</v>
      </c>
      <c r="AP818" t="s">
        <v>208</v>
      </c>
      <c r="AQ818" t="s">
        <v>209</v>
      </c>
      <c r="AR818" t="s">
        <v>502</v>
      </c>
      <c r="AW818" t="s">
        <v>212</v>
      </c>
      <c r="AZ818" t="s">
        <v>209</v>
      </c>
      <c r="BI818" t="s">
        <v>212</v>
      </c>
      <c r="BJ818" t="s">
        <v>213</v>
      </c>
      <c r="BK818" t="s">
        <v>214</v>
      </c>
      <c r="BL818" t="s">
        <v>357</v>
      </c>
      <c r="BN818" t="s">
        <v>661</v>
      </c>
      <c r="BO818" t="s">
        <v>209</v>
      </c>
      <c r="BS818" t="s">
        <v>220</v>
      </c>
      <c r="BU818" t="s">
        <v>212</v>
      </c>
      <c r="BZ818" t="s">
        <v>662</v>
      </c>
      <c r="CA818" t="s">
        <v>287</v>
      </c>
      <c r="CC818" t="s">
        <v>209</v>
      </c>
      <c r="CE818" t="s">
        <v>242</v>
      </c>
      <c r="CJ818" t="s">
        <v>206</v>
      </c>
      <c r="CK818" t="s">
        <v>230</v>
      </c>
      <c r="CL818" t="s">
        <v>231</v>
      </c>
      <c r="CM818" t="s">
        <v>232</v>
      </c>
      <c r="CN818" t="s">
        <v>233</v>
      </c>
      <c r="CP818" t="s">
        <v>212</v>
      </c>
      <c r="CQ818" t="s">
        <v>212</v>
      </c>
      <c r="CR818" t="s">
        <v>212</v>
      </c>
      <c r="CS818" t="s">
        <v>212</v>
      </c>
      <c r="CY818" t="s">
        <v>212</v>
      </c>
      <c r="DB818" t="s">
        <v>234</v>
      </c>
      <c r="DE818" t="s">
        <v>212</v>
      </c>
      <c r="DF818" t="s">
        <v>212</v>
      </c>
      <c r="DG818" t="s">
        <v>235</v>
      </c>
      <c r="DH818" t="s">
        <v>212</v>
      </c>
      <c r="DJ818" t="s">
        <v>236</v>
      </c>
      <c r="DM818" t="s">
        <v>212</v>
      </c>
    </row>
    <row r="819" spans="1:117" x14ac:dyDescent="0.3">
      <c r="A819">
        <v>25565827</v>
      </c>
      <c r="B819">
        <v>8970547</v>
      </c>
      <c r="C819" t="str">
        <f>"170710604739"</f>
        <v>170710604739</v>
      </c>
      <c r="D819" t="s">
        <v>2031</v>
      </c>
      <c r="E819" t="s">
        <v>2032</v>
      </c>
      <c r="F819" t="s">
        <v>2033</v>
      </c>
      <c r="G819" s="1">
        <v>42926</v>
      </c>
      <c r="I819" t="s">
        <v>199</v>
      </c>
      <c r="J819" t="s">
        <v>200</v>
      </c>
      <c r="K819" t="s">
        <v>201</v>
      </c>
      <c r="Q819" t="s">
        <v>212</v>
      </c>
      <c r="R819" t="str">
        <f>"КАЗАХСТАН, АКМОЛИНСКАЯ, РАЙОН БИРЖАН САЛ, АЛҒА  А., 4"</f>
        <v>КАЗАХСТАН, АКМОЛИНСКАЯ, РАЙОН БИРЖАН САЛ, АЛҒА  А., 4</v>
      </c>
      <c r="S819" t="str">
        <f>"ҚАЗАҚСТАН, АҚМОЛА, БІРЖАН САЛ АУДАНЫ, АЛҒА  А., 4"</f>
        <v>ҚАЗАҚСТАН, АҚМОЛА, БІРЖАН САЛ АУДАНЫ, АЛҒА  А., 4</v>
      </c>
      <c r="T819" t="str">
        <f>"АЛҒА  А., 4"</f>
        <v>АЛҒА  А., 4</v>
      </c>
      <c r="U819" t="str">
        <f>"АЛҒА  А., 4"</f>
        <v>АЛҒА  А., 4</v>
      </c>
      <c r="AC819" t="str">
        <f t="shared" si="40"/>
        <v>2023-08-25T00:00:00</v>
      </c>
      <c r="AD819" t="str">
        <f>"201"</f>
        <v>201</v>
      </c>
      <c r="AE819" t="str">
        <f>"2023-09-01T17:20:02"</f>
        <v>2023-09-01T17:20:02</v>
      </c>
      <c r="AF819" t="str">
        <f>"2024-05-25T17:20:02"</f>
        <v>2024-05-25T17:20:02</v>
      </c>
      <c r="AG819" t="s">
        <v>202</v>
      </c>
      <c r="AI819" t="s">
        <v>274</v>
      </c>
      <c r="AJ819" t="s">
        <v>660</v>
      </c>
      <c r="AK819" t="s">
        <v>253</v>
      </c>
      <c r="AL819" t="s">
        <v>206</v>
      </c>
      <c r="AN819" t="s">
        <v>254</v>
      </c>
      <c r="AO819">
        <v>1</v>
      </c>
      <c r="AP819" t="s">
        <v>208</v>
      </c>
      <c r="AQ819" t="s">
        <v>209</v>
      </c>
      <c r="AR819" t="s">
        <v>502</v>
      </c>
      <c r="AW819" t="s">
        <v>212</v>
      </c>
      <c r="AZ819" t="s">
        <v>209</v>
      </c>
      <c r="BI819" t="s">
        <v>212</v>
      </c>
      <c r="BJ819" t="s">
        <v>213</v>
      </c>
      <c r="BK819" t="s">
        <v>214</v>
      </c>
      <c r="BL819" t="s">
        <v>357</v>
      </c>
      <c r="BN819" t="s">
        <v>661</v>
      </c>
      <c r="BO819" t="s">
        <v>209</v>
      </c>
      <c r="BS819" t="s">
        <v>220</v>
      </c>
      <c r="BU819" t="s">
        <v>212</v>
      </c>
      <c r="BZ819" t="s">
        <v>662</v>
      </c>
      <c r="CA819" t="s">
        <v>287</v>
      </c>
      <c r="CC819" t="s">
        <v>871</v>
      </c>
      <c r="CD819" t="s">
        <v>349</v>
      </c>
      <c r="CE819" t="s">
        <v>242</v>
      </c>
      <c r="CJ819" t="s">
        <v>206</v>
      </c>
      <c r="CK819" t="s">
        <v>230</v>
      </c>
      <c r="CL819" t="s">
        <v>231</v>
      </c>
      <c r="CM819" t="s">
        <v>232</v>
      </c>
      <c r="CN819" t="s">
        <v>233</v>
      </c>
      <c r="CP819" t="s">
        <v>212</v>
      </c>
      <c r="CQ819" t="s">
        <v>212</v>
      </c>
      <c r="CR819" t="s">
        <v>212</v>
      </c>
      <c r="CS819" t="s">
        <v>212</v>
      </c>
      <c r="CY819" t="s">
        <v>212</v>
      </c>
      <c r="DB819" t="s">
        <v>653</v>
      </c>
      <c r="DC819" t="str">
        <f>"№1913 Общее недоразвитие речи 3 уровня."</f>
        <v>№1913 Общее недоразвитие речи 3 уровня.</v>
      </c>
      <c r="DD819" t="str">
        <f>"2023-12-26T00:00:00"</f>
        <v>2023-12-26T00:00:00</v>
      </c>
      <c r="DE819" t="s">
        <v>212</v>
      </c>
      <c r="DF819" t="s">
        <v>206</v>
      </c>
      <c r="DG819" t="s">
        <v>235</v>
      </c>
      <c r="DH819" t="s">
        <v>212</v>
      </c>
      <c r="DJ819" t="s">
        <v>236</v>
      </c>
      <c r="DM819" t="s">
        <v>212</v>
      </c>
    </row>
    <row r="820" spans="1:117" x14ac:dyDescent="0.3">
      <c r="A820">
        <v>25565937</v>
      </c>
      <c r="B820">
        <v>11087850</v>
      </c>
      <c r="C820" t="str">
        <f>"170421600943"</f>
        <v>170421600943</v>
      </c>
      <c r="D820" t="s">
        <v>2034</v>
      </c>
      <c r="E820" t="s">
        <v>1282</v>
      </c>
      <c r="F820" t="s">
        <v>2035</v>
      </c>
      <c r="G820" s="1">
        <v>42846</v>
      </c>
      <c r="I820" t="s">
        <v>199</v>
      </c>
      <c r="J820" t="s">
        <v>200</v>
      </c>
      <c r="K820" t="s">
        <v>201</v>
      </c>
      <c r="Q820" t="s">
        <v>212</v>
      </c>
      <c r="R820" t="str">
        <f>"КАЗАХСТАН, АКМОЛИНСКАЯ, СТЕПНОГОРСК, Бестобе, 10, 1"</f>
        <v>КАЗАХСТАН, АКМОЛИНСКАЯ, СТЕПНОГОРСК, Бестобе, 10, 1</v>
      </c>
      <c r="S820" t="str">
        <f>"ҚАЗАҚСТАН, АҚМОЛА, СТЕПНОГОР, Бестобе, 10, 1"</f>
        <v>ҚАЗАҚСТАН, АҚМОЛА, СТЕПНОГОР, Бестобе, 10, 1</v>
      </c>
      <c r="T820" t="str">
        <f>"Бестобе, 10, 1"</f>
        <v>Бестобе, 10, 1</v>
      </c>
      <c r="U820" t="str">
        <f>"Бестобе, 10, 1"</f>
        <v>Бестобе, 10, 1</v>
      </c>
      <c r="AC820" t="str">
        <f t="shared" si="40"/>
        <v>2023-08-25T00:00:00</v>
      </c>
      <c r="AD820" t="str">
        <f>"201"</f>
        <v>201</v>
      </c>
      <c r="AG820" t="s">
        <v>202</v>
      </c>
      <c r="AI820" t="s">
        <v>274</v>
      </c>
      <c r="AJ820" t="s">
        <v>660</v>
      </c>
      <c r="AK820" t="s">
        <v>253</v>
      </c>
      <c r="AL820" t="s">
        <v>206</v>
      </c>
      <c r="AN820" t="s">
        <v>254</v>
      </c>
      <c r="AO820">
        <v>1</v>
      </c>
      <c r="AP820" t="s">
        <v>208</v>
      </c>
      <c r="AQ820" t="s">
        <v>209</v>
      </c>
      <c r="AR820" t="s">
        <v>502</v>
      </c>
      <c r="AW820" t="s">
        <v>212</v>
      </c>
      <c r="AZ820" t="s">
        <v>209</v>
      </c>
      <c r="BI820" t="s">
        <v>212</v>
      </c>
      <c r="BJ820" t="s">
        <v>213</v>
      </c>
      <c r="BK820" t="s">
        <v>214</v>
      </c>
      <c r="BL820" t="s">
        <v>357</v>
      </c>
      <c r="BN820" t="s">
        <v>661</v>
      </c>
      <c r="BO820" t="s">
        <v>209</v>
      </c>
      <c r="BS820" t="s">
        <v>220</v>
      </c>
      <c r="BU820" t="s">
        <v>212</v>
      </c>
      <c r="BZ820" t="s">
        <v>662</v>
      </c>
      <c r="CA820" t="s">
        <v>287</v>
      </c>
      <c r="CC820" t="s">
        <v>209</v>
      </c>
      <c r="CE820" t="s">
        <v>242</v>
      </c>
      <c r="CJ820" t="s">
        <v>206</v>
      </c>
      <c r="CK820" t="s">
        <v>230</v>
      </c>
      <c r="CL820" t="s">
        <v>231</v>
      </c>
      <c r="CM820" t="s">
        <v>232</v>
      </c>
      <c r="CN820" t="s">
        <v>233</v>
      </c>
      <c r="CP820" t="s">
        <v>212</v>
      </c>
      <c r="CQ820" t="s">
        <v>212</v>
      </c>
      <c r="CR820" t="s">
        <v>212</v>
      </c>
      <c r="CS820" t="s">
        <v>212</v>
      </c>
      <c r="CY820" t="s">
        <v>212</v>
      </c>
      <c r="DB820" t="s">
        <v>234</v>
      </c>
      <c r="DE820" t="s">
        <v>212</v>
      </c>
      <c r="DF820" t="s">
        <v>212</v>
      </c>
      <c r="DG820" t="s">
        <v>235</v>
      </c>
      <c r="DH820" t="s">
        <v>212</v>
      </c>
      <c r="DJ820" t="s">
        <v>236</v>
      </c>
      <c r="DM820" t="s">
        <v>206</v>
      </c>
    </row>
    <row r="821" spans="1:117" x14ac:dyDescent="0.3">
      <c r="A821">
        <v>25566227</v>
      </c>
      <c r="B821">
        <v>9683405</v>
      </c>
      <c r="C821" t="str">
        <f>"170514604129"</f>
        <v>170514604129</v>
      </c>
      <c r="D821" t="s">
        <v>2036</v>
      </c>
      <c r="E821" t="s">
        <v>767</v>
      </c>
      <c r="F821" t="s">
        <v>2037</v>
      </c>
      <c r="G821" s="1">
        <v>42869</v>
      </c>
      <c r="I821" t="s">
        <v>199</v>
      </c>
      <c r="J821" t="s">
        <v>200</v>
      </c>
      <c r="K821" t="s">
        <v>201</v>
      </c>
      <c r="Q821" t="s">
        <v>212</v>
      </c>
      <c r="R821" t="str">
        <f>"КАЗАХСТАН, АКМОЛИНСКАЯ, СТЕПНОГОРСК, 43, 2"</f>
        <v>КАЗАХСТАН, АКМОЛИНСКАЯ, СТЕПНОГОРСК, 43, 2</v>
      </c>
      <c r="S821" t="str">
        <f>"ҚАЗАҚСТАН, АҚМОЛА, СТЕПНОГОР, 43, 2"</f>
        <v>ҚАЗАҚСТАН, АҚМОЛА, СТЕПНОГОР, 43, 2</v>
      </c>
      <c r="T821" t="str">
        <f>"43, 2"</f>
        <v>43, 2</v>
      </c>
      <c r="U821" t="str">
        <f>"43, 2"</f>
        <v>43, 2</v>
      </c>
      <c r="AC821" t="str">
        <f t="shared" si="40"/>
        <v>2023-08-25T00:00:00</v>
      </c>
      <c r="AD821" t="str">
        <f>"201"</f>
        <v>201</v>
      </c>
      <c r="AE821" t="str">
        <f>"2023-09-01T13:33:09"</f>
        <v>2023-09-01T13:33:09</v>
      </c>
      <c r="AF821" t="str">
        <f>"2024-05-25T13:33:09"</f>
        <v>2024-05-25T13:33:09</v>
      </c>
      <c r="AG821" t="s">
        <v>202</v>
      </c>
      <c r="AI821" t="s">
        <v>299</v>
      </c>
      <c r="AJ821" t="s">
        <v>660</v>
      </c>
      <c r="AK821" t="s">
        <v>434</v>
      </c>
      <c r="AL821" t="s">
        <v>206</v>
      </c>
      <c r="AN821" t="s">
        <v>254</v>
      </c>
      <c r="AO821">
        <v>1</v>
      </c>
      <c r="AP821" t="s">
        <v>208</v>
      </c>
      <c r="AQ821" t="s">
        <v>209</v>
      </c>
      <c r="AR821" t="s">
        <v>502</v>
      </c>
      <c r="AW821" t="s">
        <v>212</v>
      </c>
      <c r="AZ821" t="s">
        <v>209</v>
      </c>
      <c r="BI821" t="s">
        <v>212</v>
      </c>
      <c r="BJ821" t="s">
        <v>213</v>
      </c>
      <c r="BK821" t="s">
        <v>214</v>
      </c>
      <c r="BL821" t="s">
        <v>357</v>
      </c>
      <c r="BN821" t="s">
        <v>661</v>
      </c>
      <c r="BO821" t="s">
        <v>209</v>
      </c>
      <c r="BS821" t="s">
        <v>220</v>
      </c>
      <c r="BU821" t="s">
        <v>212</v>
      </c>
      <c r="BZ821" t="s">
        <v>662</v>
      </c>
      <c r="CA821" t="s">
        <v>287</v>
      </c>
      <c r="CC821" t="s">
        <v>209</v>
      </c>
      <c r="CE821" t="s">
        <v>242</v>
      </c>
      <c r="CJ821" t="s">
        <v>206</v>
      </c>
      <c r="CK821" t="s">
        <v>230</v>
      </c>
      <c r="CL821" t="s">
        <v>231</v>
      </c>
      <c r="CM821" t="s">
        <v>232</v>
      </c>
      <c r="CN821" t="s">
        <v>233</v>
      </c>
      <c r="CP821" t="s">
        <v>212</v>
      </c>
      <c r="CQ821" t="s">
        <v>212</v>
      </c>
      <c r="CR821" t="s">
        <v>212</v>
      </c>
      <c r="CS821" t="s">
        <v>212</v>
      </c>
      <c r="CY821" t="s">
        <v>212</v>
      </c>
      <c r="DB821" t="s">
        <v>653</v>
      </c>
      <c r="DC821" t="str">
        <f>"№1917 Общее недоразвитие речи 3 уровня."</f>
        <v>№1917 Общее недоразвитие речи 3 уровня.</v>
      </c>
      <c r="DD821" t="str">
        <f>"2023-12-26T00:00:00"</f>
        <v>2023-12-26T00:00:00</v>
      </c>
      <c r="DE821" t="s">
        <v>212</v>
      </c>
      <c r="DF821" t="s">
        <v>206</v>
      </c>
      <c r="DG821" t="s">
        <v>235</v>
      </c>
      <c r="DH821" t="s">
        <v>212</v>
      </c>
      <c r="DJ821" t="s">
        <v>236</v>
      </c>
      <c r="DM821" t="s">
        <v>212</v>
      </c>
    </row>
    <row r="822" spans="1:117" x14ac:dyDescent="0.3">
      <c r="A822">
        <v>25574997</v>
      </c>
      <c r="B822">
        <v>54511</v>
      </c>
      <c r="C822" t="str">
        <f>"120715604559"</f>
        <v>120715604559</v>
      </c>
      <c r="D822" t="s">
        <v>2038</v>
      </c>
      <c r="E822" t="s">
        <v>2039</v>
      </c>
      <c r="F822" t="s">
        <v>921</v>
      </c>
      <c r="G822" s="1">
        <v>41105</v>
      </c>
      <c r="I822" t="s">
        <v>199</v>
      </c>
      <c r="J822" t="s">
        <v>200</v>
      </c>
      <c r="K822" t="s">
        <v>260</v>
      </c>
      <c r="Q822" t="s">
        <v>212</v>
      </c>
      <c r="R822" t="str">
        <f>"КАЗАХСТАН, АКМОЛИНСКАЯ, АККОЛЬСКИЙ РАЙОН, Акколь, 130"</f>
        <v>КАЗАХСТАН, АКМОЛИНСКАЯ, АККОЛЬСКИЙ РАЙОН, Акколь, 130</v>
      </c>
      <c r="S822" t="str">
        <f>"ҚАЗАҚСТАН, АҚМОЛА, АҚКӨЛ АУДАНЫ, Акколь, 130"</f>
        <v>ҚАЗАҚСТАН, АҚМОЛА, АҚКӨЛ АУДАНЫ, Акколь, 130</v>
      </c>
      <c r="T822" t="str">
        <f>"Акколь, 130"</f>
        <v>Акколь, 130</v>
      </c>
      <c r="U822" t="str">
        <f>"Акколь, 130"</f>
        <v>Акколь, 130</v>
      </c>
      <c r="AC822" t="str">
        <f t="shared" si="40"/>
        <v>2023-08-25T00:00:00</v>
      </c>
      <c r="AD822" t="str">
        <f>"66/1"</f>
        <v>66/1</v>
      </c>
      <c r="AG822" t="s">
        <v>333</v>
      </c>
      <c r="AI822" t="s">
        <v>274</v>
      </c>
      <c r="AJ822" t="s">
        <v>419</v>
      </c>
      <c r="AK822" t="s">
        <v>246</v>
      </c>
      <c r="AL822" t="s">
        <v>206</v>
      </c>
      <c r="AN822" t="s">
        <v>207</v>
      </c>
      <c r="AO822">
        <v>1</v>
      </c>
      <c r="AP822" t="s">
        <v>208</v>
      </c>
      <c r="AQ822" t="s">
        <v>209</v>
      </c>
      <c r="AR822" t="s">
        <v>210</v>
      </c>
      <c r="AW822" t="s">
        <v>206</v>
      </c>
      <c r="AX822" t="s">
        <v>211</v>
      </c>
      <c r="AZ822" t="s">
        <v>209</v>
      </c>
      <c r="BI822" t="s">
        <v>212</v>
      </c>
      <c r="BJ822" t="s">
        <v>213</v>
      </c>
      <c r="BK822" t="s">
        <v>214</v>
      </c>
      <c r="BL822" t="s">
        <v>215</v>
      </c>
      <c r="BN822" t="s">
        <v>247</v>
      </c>
      <c r="BO822" t="s">
        <v>209</v>
      </c>
      <c r="BP822" t="s">
        <v>241</v>
      </c>
      <c r="BQ822">
        <v>3</v>
      </c>
      <c r="BS822" t="s">
        <v>219</v>
      </c>
      <c r="BT822" t="s">
        <v>220</v>
      </c>
      <c r="BU822" t="s">
        <v>206</v>
      </c>
      <c r="CA822" t="s">
        <v>287</v>
      </c>
      <c r="CC822" t="s">
        <v>209</v>
      </c>
      <c r="CE822" t="s">
        <v>242</v>
      </c>
      <c r="CJ822" t="s">
        <v>206</v>
      </c>
      <c r="CK822" t="s">
        <v>230</v>
      </c>
      <c r="CL822" t="s">
        <v>231</v>
      </c>
      <c r="CM822" t="s">
        <v>232</v>
      </c>
      <c r="CN822" t="s">
        <v>233</v>
      </c>
      <c r="CP822" t="s">
        <v>212</v>
      </c>
      <c r="CQ822" t="s">
        <v>212</v>
      </c>
      <c r="CR822" t="s">
        <v>212</v>
      </c>
      <c r="CS822" t="s">
        <v>212</v>
      </c>
      <c r="CY822" t="s">
        <v>212</v>
      </c>
      <c r="DB822" t="s">
        <v>234</v>
      </c>
      <c r="DE822" t="s">
        <v>212</v>
      </c>
      <c r="DF822" t="s">
        <v>212</v>
      </c>
      <c r="DG822" t="s">
        <v>235</v>
      </c>
      <c r="DH822" t="s">
        <v>212</v>
      </c>
      <c r="DJ822" t="s">
        <v>421</v>
      </c>
      <c r="DK822" t="s">
        <v>707</v>
      </c>
      <c r="DL822" t="s">
        <v>423</v>
      </c>
      <c r="DM822" t="s">
        <v>206</v>
      </c>
    </row>
    <row r="823" spans="1:117" x14ac:dyDescent="0.3">
      <c r="A823">
        <v>25628313</v>
      </c>
      <c r="B823">
        <v>808317</v>
      </c>
      <c r="C823" t="str">
        <f>"150520605730"</f>
        <v>150520605730</v>
      </c>
      <c r="D823" t="s">
        <v>2040</v>
      </c>
      <c r="E823" t="s">
        <v>1966</v>
      </c>
      <c r="F823" t="s">
        <v>805</v>
      </c>
      <c r="G823" s="1">
        <v>42144</v>
      </c>
      <c r="I823" t="s">
        <v>199</v>
      </c>
      <c r="J823" t="s">
        <v>200</v>
      </c>
      <c r="K823" t="s">
        <v>260</v>
      </c>
      <c r="L823" t="s">
        <v>212</v>
      </c>
      <c r="Q823" t="s">
        <v>212</v>
      </c>
      <c r="R823" t="str">
        <f>"КАЗАХСТАН, АКМОЛИНСКАЯ, СТЕПНОГОРСК, 30, 187"</f>
        <v>КАЗАХСТАН, АКМОЛИНСКАЯ, СТЕПНОГОРСК, 30, 187</v>
      </c>
      <c r="S823" t="str">
        <f>"ҚАЗАҚСТАН, АҚМОЛА, СТЕПНОГОР, 30, 187"</f>
        <v>ҚАЗАҚСТАН, АҚМОЛА, СТЕПНОГОР, 30, 187</v>
      </c>
      <c r="T823" t="str">
        <f>"30, 187"</f>
        <v>30, 187</v>
      </c>
      <c r="U823" t="str">
        <f>"30, 187"</f>
        <v>30, 187</v>
      </c>
      <c r="AC823" t="str">
        <f>"2023-08-31T00:00:00"</f>
        <v>2023-08-31T00:00:00</v>
      </c>
      <c r="AD823" t="str">
        <f>"70"</f>
        <v>70</v>
      </c>
      <c r="AG823" t="s">
        <v>646</v>
      </c>
      <c r="AI823" t="s">
        <v>269</v>
      </c>
      <c r="AJ823" t="s">
        <v>570</v>
      </c>
      <c r="AK823" t="s">
        <v>205</v>
      </c>
      <c r="AL823" t="s">
        <v>206</v>
      </c>
      <c r="AN823" t="s">
        <v>207</v>
      </c>
      <c r="AO823">
        <v>2</v>
      </c>
      <c r="AP823" t="s">
        <v>208</v>
      </c>
      <c r="AQ823" t="s">
        <v>209</v>
      </c>
      <c r="AR823" t="s">
        <v>502</v>
      </c>
      <c r="AW823" t="s">
        <v>212</v>
      </c>
      <c r="AZ823" t="s">
        <v>209</v>
      </c>
      <c r="BI823" t="s">
        <v>212</v>
      </c>
      <c r="BJ823" t="s">
        <v>213</v>
      </c>
      <c r="BK823" t="s">
        <v>214</v>
      </c>
      <c r="BL823" t="s">
        <v>357</v>
      </c>
      <c r="BN823" t="s">
        <v>216</v>
      </c>
      <c r="BO823" t="s">
        <v>209</v>
      </c>
      <c r="BP823" t="s">
        <v>241</v>
      </c>
      <c r="BQ823">
        <v>4</v>
      </c>
      <c r="BS823" t="s">
        <v>220</v>
      </c>
      <c r="BU823" t="s">
        <v>212</v>
      </c>
      <c r="BZ823" t="s">
        <v>623</v>
      </c>
      <c r="CA823" t="s">
        <v>287</v>
      </c>
      <c r="CC823" t="s">
        <v>249</v>
      </c>
      <c r="CD823" t="s">
        <v>349</v>
      </c>
      <c r="CE823" t="s">
        <v>242</v>
      </c>
      <c r="CJ823" t="s">
        <v>206</v>
      </c>
      <c r="CK823" t="s">
        <v>230</v>
      </c>
      <c r="CL823" t="s">
        <v>231</v>
      </c>
      <c r="CM823" t="s">
        <v>232</v>
      </c>
      <c r="CN823" t="s">
        <v>233</v>
      </c>
      <c r="CP823" t="s">
        <v>212</v>
      </c>
      <c r="CQ823" t="s">
        <v>212</v>
      </c>
      <c r="CR823" t="s">
        <v>212</v>
      </c>
      <c r="CS823" t="s">
        <v>212</v>
      </c>
      <c r="CY823" t="s">
        <v>212</v>
      </c>
      <c r="DB823" t="s">
        <v>234</v>
      </c>
      <c r="DE823" t="s">
        <v>212</v>
      </c>
      <c r="DF823" t="s">
        <v>212</v>
      </c>
      <c r="DG823" t="s">
        <v>235</v>
      </c>
      <c r="DH823" t="s">
        <v>212</v>
      </c>
      <c r="DJ823" t="s">
        <v>236</v>
      </c>
      <c r="DM823" t="s">
        <v>212</v>
      </c>
    </row>
    <row r="824" spans="1:117" x14ac:dyDescent="0.3">
      <c r="A824">
        <v>25628320</v>
      </c>
      <c r="B824">
        <v>323764</v>
      </c>
      <c r="C824" t="str">
        <f>"120203601580"</f>
        <v>120203601580</v>
      </c>
      <c r="D824" t="s">
        <v>2040</v>
      </c>
      <c r="E824" t="s">
        <v>1445</v>
      </c>
      <c r="F824" t="s">
        <v>805</v>
      </c>
      <c r="G824" s="1">
        <v>40942</v>
      </c>
      <c r="I824" t="s">
        <v>199</v>
      </c>
      <c r="J824" t="s">
        <v>200</v>
      </c>
      <c r="K824" t="s">
        <v>260</v>
      </c>
      <c r="Q824" t="s">
        <v>212</v>
      </c>
      <c r="R824" t="str">
        <f>"КАЗАХСТАН, АКМОЛИНСКАЯ, СТЕПНОГОРСК, 30, 187"</f>
        <v>КАЗАХСТАН, АКМОЛИНСКАЯ, СТЕПНОГОРСК, 30, 187</v>
      </c>
      <c r="S824" t="str">
        <f>"ҚАЗАҚСТАН, АҚМОЛА, СТЕПНОГОР, 30, 187"</f>
        <v>ҚАЗАҚСТАН, АҚМОЛА, СТЕПНОГОР, 30, 187</v>
      </c>
      <c r="T824" t="str">
        <f>"30, 187"</f>
        <v>30, 187</v>
      </c>
      <c r="U824" t="str">
        <f>"30, 187"</f>
        <v>30, 187</v>
      </c>
      <c r="AC824" t="str">
        <f>"2023-08-31T00:00:00"</f>
        <v>2023-08-31T00:00:00</v>
      </c>
      <c r="AD824" t="str">
        <f>"70"</f>
        <v>70</v>
      </c>
      <c r="AG824" t="s">
        <v>646</v>
      </c>
      <c r="AI824" t="s">
        <v>274</v>
      </c>
      <c r="AJ824" t="s">
        <v>348</v>
      </c>
      <c r="AK824" t="s">
        <v>205</v>
      </c>
      <c r="AL824" t="s">
        <v>206</v>
      </c>
      <c r="AN824" t="s">
        <v>207</v>
      </c>
      <c r="AO824">
        <v>1</v>
      </c>
      <c r="AP824" t="s">
        <v>208</v>
      </c>
      <c r="AQ824" t="s">
        <v>209</v>
      </c>
      <c r="AR824" t="s">
        <v>502</v>
      </c>
      <c r="AW824" t="s">
        <v>212</v>
      </c>
      <c r="AZ824" t="s">
        <v>209</v>
      </c>
      <c r="BI824" t="s">
        <v>212</v>
      </c>
      <c r="BJ824" t="s">
        <v>213</v>
      </c>
      <c r="BK824" t="s">
        <v>214</v>
      </c>
      <c r="BL824" t="s">
        <v>215</v>
      </c>
      <c r="BN824" t="s">
        <v>216</v>
      </c>
      <c r="BO824" t="s">
        <v>209</v>
      </c>
      <c r="BP824" t="s">
        <v>241</v>
      </c>
      <c r="BQ824">
        <v>4</v>
      </c>
      <c r="BS824" t="s">
        <v>219</v>
      </c>
      <c r="BT824" t="s">
        <v>220</v>
      </c>
      <c r="BU824" t="s">
        <v>206</v>
      </c>
      <c r="CA824" t="s">
        <v>287</v>
      </c>
      <c r="CC824" t="s">
        <v>222</v>
      </c>
      <c r="CD824" t="s">
        <v>223</v>
      </c>
      <c r="CE824" t="s">
        <v>342</v>
      </c>
      <c r="CF824" t="s">
        <v>226</v>
      </c>
      <c r="CG824" t="s">
        <v>227</v>
      </c>
      <c r="CH824" t="s">
        <v>209</v>
      </c>
      <c r="CI824" t="s">
        <v>1355</v>
      </c>
      <c r="CJ824" t="s">
        <v>206</v>
      </c>
      <c r="CK824" t="s">
        <v>230</v>
      </c>
      <c r="CL824" t="s">
        <v>231</v>
      </c>
      <c r="CM824" t="s">
        <v>232</v>
      </c>
      <c r="CN824" t="s">
        <v>233</v>
      </c>
      <c r="CP824" t="s">
        <v>212</v>
      </c>
      <c r="CQ824" t="s">
        <v>212</v>
      </c>
      <c r="CR824" t="s">
        <v>212</v>
      </c>
      <c r="CS824" t="s">
        <v>212</v>
      </c>
      <c r="CY824" t="s">
        <v>212</v>
      </c>
      <c r="DB824" t="s">
        <v>234</v>
      </c>
      <c r="DE824" t="s">
        <v>212</v>
      </c>
      <c r="DF824" t="s">
        <v>212</v>
      </c>
      <c r="DG824" t="s">
        <v>235</v>
      </c>
      <c r="DH824" t="s">
        <v>212</v>
      </c>
      <c r="DJ824" t="s">
        <v>236</v>
      </c>
      <c r="DM824" t="s">
        <v>212</v>
      </c>
    </row>
    <row r="825" spans="1:117" x14ac:dyDescent="0.3">
      <c r="A825">
        <v>25722441</v>
      </c>
      <c r="B825">
        <v>13360298</v>
      </c>
      <c r="C825" t="str">
        <f>"140331050114"</f>
        <v>140331050114</v>
      </c>
      <c r="D825" t="s">
        <v>2041</v>
      </c>
      <c r="E825" t="s">
        <v>1485</v>
      </c>
      <c r="F825" t="s">
        <v>2042</v>
      </c>
      <c r="G825" s="1">
        <v>41729</v>
      </c>
      <c r="I825" t="s">
        <v>240</v>
      </c>
      <c r="J825" t="s">
        <v>757</v>
      </c>
      <c r="K825" t="s">
        <v>201</v>
      </c>
      <c r="L825" t="s">
        <v>212</v>
      </c>
      <c r="Q825" t="s">
        <v>206</v>
      </c>
      <c r="R825" t="str">
        <f t="shared" ref="R825:U827" si="43">"-"</f>
        <v>-</v>
      </c>
      <c r="S825" t="str">
        <f t="shared" si="43"/>
        <v>-</v>
      </c>
      <c r="T825" t="str">
        <f t="shared" si="43"/>
        <v>-</v>
      </c>
      <c r="U825" t="str">
        <f t="shared" si="43"/>
        <v>-</v>
      </c>
      <c r="AC825" t="str">
        <f>"2023-08-28T00:00:00"</f>
        <v>2023-08-28T00:00:00</v>
      </c>
      <c r="AD825" t="str">
        <f>"69"</f>
        <v>69</v>
      </c>
      <c r="AG825" t="s">
        <v>530</v>
      </c>
      <c r="AI825" t="s">
        <v>274</v>
      </c>
      <c r="AJ825" t="s">
        <v>540</v>
      </c>
      <c r="AK825" t="s">
        <v>253</v>
      </c>
      <c r="AL825" t="s">
        <v>206</v>
      </c>
      <c r="AN825" t="s">
        <v>254</v>
      </c>
      <c r="AO825">
        <v>2</v>
      </c>
      <c r="AP825" t="s">
        <v>208</v>
      </c>
      <c r="AQ825" t="s">
        <v>209</v>
      </c>
      <c r="AR825" t="s">
        <v>502</v>
      </c>
      <c r="AW825" t="s">
        <v>212</v>
      </c>
      <c r="AZ825" t="s">
        <v>209</v>
      </c>
      <c r="BI825" t="s">
        <v>212</v>
      </c>
      <c r="BJ825" t="s">
        <v>213</v>
      </c>
      <c r="BK825" t="s">
        <v>214</v>
      </c>
      <c r="BL825" t="s">
        <v>357</v>
      </c>
      <c r="BN825" t="s">
        <v>216</v>
      </c>
      <c r="BO825" t="s">
        <v>209</v>
      </c>
      <c r="BP825" t="s">
        <v>241</v>
      </c>
      <c r="BQ825">
        <v>4</v>
      </c>
      <c r="BS825" t="s">
        <v>219</v>
      </c>
      <c r="BT825" t="s">
        <v>220</v>
      </c>
      <c r="BU825" t="s">
        <v>206</v>
      </c>
      <c r="BZ825" t="s">
        <v>541</v>
      </c>
      <c r="CA825" t="s">
        <v>287</v>
      </c>
      <c r="CC825" t="s">
        <v>209</v>
      </c>
      <c r="CE825" t="s">
        <v>242</v>
      </c>
      <c r="CJ825" t="s">
        <v>206</v>
      </c>
      <c r="CK825" t="s">
        <v>230</v>
      </c>
      <c r="CL825" t="s">
        <v>231</v>
      </c>
      <c r="CM825" t="s">
        <v>232</v>
      </c>
      <c r="CN825" t="s">
        <v>233</v>
      </c>
      <c r="CP825" t="s">
        <v>212</v>
      </c>
      <c r="CQ825" t="s">
        <v>212</v>
      </c>
      <c r="CR825" t="s">
        <v>212</v>
      </c>
      <c r="CS825" t="s">
        <v>212</v>
      </c>
      <c r="CY825" t="s">
        <v>212</v>
      </c>
      <c r="DB825" t="s">
        <v>234</v>
      </c>
      <c r="DE825" t="s">
        <v>212</v>
      </c>
      <c r="DF825" t="s">
        <v>212</v>
      </c>
      <c r="DG825" t="s">
        <v>235</v>
      </c>
      <c r="DH825" t="s">
        <v>212</v>
      </c>
      <c r="DJ825" t="s">
        <v>236</v>
      </c>
      <c r="DM825" t="s">
        <v>212</v>
      </c>
    </row>
    <row r="826" spans="1:117" x14ac:dyDescent="0.3">
      <c r="A826">
        <v>25722843</v>
      </c>
      <c r="B826">
        <v>13360355</v>
      </c>
      <c r="C826" t="str">
        <f>"120429050084"</f>
        <v>120429050084</v>
      </c>
      <c r="D826" t="s">
        <v>2043</v>
      </c>
      <c r="E826" t="s">
        <v>394</v>
      </c>
      <c r="F826" t="s">
        <v>2044</v>
      </c>
      <c r="G826" s="1">
        <v>41028</v>
      </c>
      <c r="I826" t="s">
        <v>199</v>
      </c>
      <c r="J826" t="s">
        <v>757</v>
      </c>
      <c r="K826" t="s">
        <v>201</v>
      </c>
      <c r="L826" t="s">
        <v>212</v>
      </c>
      <c r="Q826" t="s">
        <v>206</v>
      </c>
      <c r="R826" t="str">
        <f t="shared" si="43"/>
        <v>-</v>
      </c>
      <c r="S826" t="str">
        <f t="shared" si="43"/>
        <v>-</v>
      </c>
      <c r="T826" t="str">
        <f t="shared" si="43"/>
        <v>-</v>
      </c>
      <c r="U826" t="str">
        <f t="shared" si="43"/>
        <v>-</v>
      </c>
      <c r="AC826" t="str">
        <f>"2023-08-28T00:00:00"</f>
        <v>2023-08-28T00:00:00</v>
      </c>
      <c r="AD826" t="str">
        <f>"69"</f>
        <v>69</v>
      </c>
      <c r="AG826" t="s">
        <v>530</v>
      </c>
      <c r="AI826" t="s">
        <v>274</v>
      </c>
      <c r="AJ826" t="s">
        <v>348</v>
      </c>
      <c r="AK826" t="s">
        <v>253</v>
      </c>
      <c r="AL826" t="s">
        <v>206</v>
      </c>
      <c r="AN826" t="s">
        <v>254</v>
      </c>
      <c r="AO826">
        <v>1</v>
      </c>
      <c r="AP826" t="s">
        <v>208</v>
      </c>
      <c r="AQ826" t="s">
        <v>209</v>
      </c>
      <c r="AR826" t="s">
        <v>502</v>
      </c>
      <c r="AW826" t="s">
        <v>212</v>
      </c>
      <c r="AZ826" t="s">
        <v>209</v>
      </c>
      <c r="BI826" t="s">
        <v>212</v>
      </c>
      <c r="BJ826" t="s">
        <v>213</v>
      </c>
      <c r="BK826" t="s">
        <v>214</v>
      </c>
      <c r="BL826" t="s">
        <v>215</v>
      </c>
      <c r="BN826" t="s">
        <v>281</v>
      </c>
      <c r="BO826" t="s">
        <v>209</v>
      </c>
      <c r="BP826" t="s">
        <v>241</v>
      </c>
      <c r="BQ826">
        <v>5</v>
      </c>
      <c r="BS826" t="s">
        <v>219</v>
      </c>
      <c r="BT826" t="s">
        <v>220</v>
      </c>
      <c r="BU826" t="s">
        <v>206</v>
      </c>
      <c r="CA826" t="s">
        <v>287</v>
      </c>
      <c r="CC826" t="s">
        <v>209</v>
      </c>
      <c r="CE826" t="s">
        <v>242</v>
      </c>
      <c r="CJ826" t="s">
        <v>206</v>
      </c>
      <c r="CK826" t="s">
        <v>230</v>
      </c>
      <c r="CL826" t="s">
        <v>231</v>
      </c>
      <c r="CM826" t="s">
        <v>232</v>
      </c>
      <c r="CN826" t="s">
        <v>233</v>
      </c>
      <c r="CP826" t="s">
        <v>212</v>
      </c>
      <c r="CQ826" t="s">
        <v>212</v>
      </c>
      <c r="CR826" t="s">
        <v>212</v>
      </c>
      <c r="CS826" t="s">
        <v>212</v>
      </c>
      <c r="CY826" t="s">
        <v>212</v>
      </c>
      <c r="DB826" t="s">
        <v>234</v>
      </c>
      <c r="DE826" t="s">
        <v>212</v>
      </c>
      <c r="DF826" t="s">
        <v>212</v>
      </c>
      <c r="DG826" t="s">
        <v>235</v>
      </c>
      <c r="DH826" t="s">
        <v>212</v>
      </c>
      <c r="DJ826" t="s">
        <v>236</v>
      </c>
      <c r="DM826" t="s">
        <v>212</v>
      </c>
    </row>
    <row r="827" spans="1:117" x14ac:dyDescent="0.3">
      <c r="A827">
        <v>25723959</v>
      </c>
      <c r="B827">
        <v>13360486</v>
      </c>
      <c r="C827" t="str">
        <f>"101001050115"</f>
        <v>101001050115</v>
      </c>
      <c r="D827" t="s">
        <v>2045</v>
      </c>
      <c r="E827" t="s">
        <v>376</v>
      </c>
      <c r="F827" t="s">
        <v>2046</v>
      </c>
      <c r="G827" s="1">
        <v>40452</v>
      </c>
      <c r="I827" t="s">
        <v>240</v>
      </c>
      <c r="J827" t="s">
        <v>721</v>
      </c>
      <c r="K827" t="s">
        <v>260</v>
      </c>
      <c r="L827" t="s">
        <v>212</v>
      </c>
      <c r="Q827" t="s">
        <v>212</v>
      </c>
      <c r="R827" t="str">
        <f t="shared" si="43"/>
        <v>-</v>
      </c>
      <c r="S827" t="str">
        <f t="shared" si="43"/>
        <v>-</v>
      </c>
      <c r="T827" t="str">
        <f t="shared" si="43"/>
        <v>-</v>
      </c>
      <c r="U827" t="str">
        <f t="shared" si="43"/>
        <v>-</v>
      </c>
      <c r="AC827" t="str">
        <f>"2023-08-28T00:00:00"</f>
        <v>2023-08-28T00:00:00</v>
      </c>
      <c r="AD827" t="str">
        <f>"69"</f>
        <v>69</v>
      </c>
      <c r="AG827" t="s">
        <v>530</v>
      </c>
      <c r="AI827" t="s">
        <v>274</v>
      </c>
      <c r="AJ827" t="s">
        <v>300</v>
      </c>
      <c r="AK827" t="s">
        <v>205</v>
      </c>
      <c r="AL827" t="s">
        <v>206</v>
      </c>
      <c r="AN827" t="s">
        <v>207</v>
      </c>
      <c r="AO827">
        <v>1</v>
      </c>
      <c r="AP827" t="s">
        <v>208</v>
      </c>
      <c r="AQ827" t="s">
        <v>209</v>
      </c>
      <c r="AR827" t="s">
        <v>210</v>
      </c>
      <c r="AW827" t="s">
        <v>206</v>
      </c>
      <c r="AX827" t="s">
        <v>211</v>
      </c>
      <c r="AZ827" t="s">
        <v>209</v>
      </c>
      <c r="BI827" t="s">
        <v>212</v>
      </c>
      <c r="BJ827" t="s">
        <v>213</v>
      </c>
      <c r="BK827" t="s">
        <v>214</v>
      </c>
      <c r="BL827" t="s">
        <v>215</v>
      </c>
      <c r="BN827" t="s">
        <v>247</v>
      </c>
      <c r="BO827" t="s">
        <v>209</v>
      </c>
      <c r="BP827" t="s">
        <v>241</v>
      </c>
      <c r="BQ827">
        <v>3</v>
      </c>
      <c r="BS827" t="s">
        <v>219</v>
      </c>
      <c r="BT827" t="s">
        <v>220</v>
      </c>
      <c r="BU827" t="s">
        <v>206</v>
      </c>
      <c r="CA827" t="s">
        <v>287</v>
      </c>
      <c r="CC827" t="s">
        <v>209</v>
      </c>
      <c r="CE827" t="s">
        <v>242</v>
      </c>
      <c r="CJ827" t="s">
        <v>206</v>
      </c>
      <c r="CK827" t="s">
        <v>230</v>
      </c>
      <c r="CL827" t="s">
        <v>231</v>
      </c>
      <c r="CM827" t="s">
        <v>232</v>
      </c>
      <c r="CN827" t="s">
        <v>233</v>
      </c>
      <c r="CP827" t="s">
        <v>212</v>
      </c>
      <c r="CQ827" t="s">
        <v>212</v>
      </c>
      <c r="CR827" t="s">
        <v>212</v>
      </c>
      <c r="CS827" t="s">
        <v>212</v>
      </c>
      <c r="CY827" t="s">
        <v>212</v>
      </c>
      <c r="DB827" t="s">
        <v>234</v>
      </c>
      <c r="DE827" t="s">
        <v>212</v>
      </c>
      <c r="DF827" t="s">
        <v>212</v>
      </c>
      <c r="DG827" t="s">
        <v>235</v>
      </c>
      <c r="DH827" t="s">
        <v>212</v>
      </c>
      <c r="DJ827" t="s">
        <v>236</v>
      </c>
      <c r="DM827" t="s">
        <v>212</v>
      </c>
    </row>
    <row r="828" spans="1:117" x14ac:dyDescent="0.3">
      <c r="A828">
        <v>25834724</v>
      </c>
      <c r="B828">
        <v>317391</v>
      </c>
      <c r="C828" t="str">
        <f>"071116550838"</f>
        <v>071116550838</v>
      </c>
      <c r="D828" t="s">
        <v>2047</v>
      </c>
      <c r="E828" t="s">
        <v>1843</v>
      </c>
      <c r="F828" t="s">
        <v>2048</v>
      </c>
      <c r="G828" s="1">
        <v>39402</v>
      </c>
      <c r="I828" t="s">
        <v>240</v>
      </c>
      <c r="J828" t="s">
        <v>200</v>
      </c>
      <c r="K828" t="s">
        <v>201</v>
      </c>
      <c r="R828" t="str">
        <f>"КАЗАХСТАН, АКМОЛИНСКАЯ, СТЕПНОГОРСК, СТЕПНОГОРСК"</f>
        <v>КАЗАХСТАН, АКМОЛИНСКАЯ, СТЕПНОГОРСК, СТЕПНОГОРСК</v>
      </c>
      <c r="S828" t="str">
        <f>"ҚАЗАҚСТАН, АҚМОЛА, СТЕПНОГОР, СТЕПНОГОРСК"</f>
        <v>ҚАЗАҚСТАН, АҚМОЛА, СТЕПНОГОР, СТЕПНОГОРСК</v>
      </c>
      <c r="T828" t="str">
        <f>"СТЕПНОГОРСК"</f>
        <v>СТЕПНОГОРСК</v>
      </c>
      <c r="U828" t="str">
        <f>"СТЕПНОГОРСК"</f>
        <v>СТЕПНОГОРСК</v>
      </c>
      <c r="AC828" t="str">
        <f t="shared" ref="AC828:AC861" si="44">"2023-08-25T00:00:00"</f>
        <v>2023-08-25T00:00:00</v>
      </c>
      <c r="AD828" t="str">
        <f t="shared" ref="AD828:AD833" si="45">"200"</f>
        <v>200</v>
      </c>
      <c r="AG828" t="s">
        <v>202</v>
      </c>
      <c r="AH828" t="str">
        <f>"ckool007@mail.ru"</f>
        <v>ckool007@mail.ru</v>
      </c>
      <c r="AI828" t="s">
        <v>203</v>
      </c>
      <c r="AJ828" t="s">
        <v>1157</v>
      </c>
      <c r="AK828" t="s">
        <v>253</v>
      </c>
      <c r="AL828" t="s">
        <v>206</v>
      </c>
      <c r="AN828" t="s">
        <v>254</v>
      </c>
      <c r="AO828">
        <v>1</v>
      </c>
      <c r="AP828" t="s">
        <v>208</v>
      </c>
      <c r="AQ828" t="s">
        <v>209</v>
      </c>
      <c r="AR828" t="s">
        <v>307</v>
      </c>
      <c r="AW828" t="s">
        <v>206</v>
      </c>
      <c r="AX828" t="s">
        <v>211</v>
      </c>
      <c r="AZ828" t="s">
        <v>209</v>
      </c>
      <c r="BI828" t="s">
        <v>212</v>
      </c>
      <c r="BJ828" t="s">
        <v>213</v>
      </c>
      <c r="BK828" t="s">
        <v>214</v>
      </c>
      <c r="BL828" t="s">
        <v>215</v>
      </c>
      <c r="BN828" t="s">
        <v>216</v>
      </c>
      <c r="BO828" t="s">
        <v>209</v>
      </c>
      <c r="BP828" t="s">
        <v>217</v>
      </c>
      <c r="BQ828" t="s">
        <v>1770</v>
      </c>
      <c r="BS828" t="s">
        <v>219</v>
      </c>
      <c r="BT828" t="s">
        <v>220</v>
      </c>
      <c r="BU828" t="s">
        <v>212</v>
      </c>
      <c r="BX828" t="s">
        <v>221</v>
      </c>
      <c r="BY828" t="s">
        <v>221</v>
      </c>
      <c r="CA828" t="s">
        <v>249</v>
      </c>
      <c r="CB828" t="s">
        <v>223</v>
      </c>
      <c r="CC828" t="s">
        <v>222</v>
      </c>
      <c r="CD828" t="s">
        <v>223</v>
      </c>
      <c r="CE828" t="s">
        <v>242</v>
      </c>
      <c r="CJ828" t="s">
        <v>206</v>
      </c>
      <c r="CK828" t="s">
        <v>474</v>
      </c>
      <c r="CM828" t="s">
        <v>292</v>
      </c>
      <c r="CN828" t="s">
        <v>233</v>
      </c>
      <c r="CP828" t="s">
        <v>212</v>
      </c>
      <c r="CQ828" t="s">
        <v>212</v>
      </c>
      <c r="CR828" t="s">
        <v>212</v>
      </c>
      <c r="CS828" t="s">
        <v>212</v>
      </c>
      <c r="CY828" t="s">
        <v>212</v>
      </c>
      <c r="DB828" t="s">
        <v>234</v>
      </c>
      <c r="DE828" t="s">
        <v>212</v>
      </c>
      <c r="DF828" t="s">
        <v>212</v>
      </c>
      <c r="DG828" t="s">
        <v>235</v>
      </c>
      <c r="DH828" t="s">
        <v>212</v>
      </c>
      <c r="DJ828" t="s">
        <v>236</v>
      </c>
      <c r="DM828" t="s">
        <v>212</v>
      </c>
    </row>
    <row r="829" spans="1:117" x14ac:dyDescent="0.3">
      <c r="A829">
        <v>25834727</v>
      </c>
      <c r="B829">
        <v>322663</v>
      </c>
      <c r="C829" t="str">
        <f>"080217650258"</f>
        <v>080217650258</v>
      </c>
      <c r="D829" t="s">
        <v>2049</v>
      </c>
      <c r="E829" t="s">
        <v>513</v>
      </c>
      <c r="F829" t="s">
        <v>368</v>
      </c>
      <c r="G829" s="1">
        <v>39495</v>
      </c>
      <c r="I829" t="s">
        <v>199</v>
      </c>
      <c r="J829" t="s">
        <v>200</v>
      </c>
      <c r="K829" t="s">
        <v>201</v>
      </c>
      <c r="R829" t="str">
        <f>"КАЗАХСТАН, АКМОЛИНСКАЯ, РАЙОН БИРЖАН САЛ, АУЫЛДЫҚ ОКРУГІ Валихановский, АУЫЛЫ Шокан Уалиханов, 3"</f>
        <v>КАЗАХСТАН, АКМОЛИНСКАЯ, РАЙОН БИРЖАН САЛ, АУЫЛДЫҚ ОКРУГІ Валихановский, АУЫЛЫ Шокан Уалиханов, 3</v>
      </c>
      <c r="S829" t="str">
        <f>"ҚАЗАҚСТАН, АҚМОЛА, БІРЖАН САЛ АУДАНЫ, АУЫЛДЫҚ ОКРУГІ Валихановский, АУЫЛЫ Шокан Уалиханов, 3"</f>
        <v>ҚАЗАҚСТАН, АҚМОЛА, БІРЖАН САЛ АУДАНЫ, АУЫЛДЫҚ ОКРУГІ Валихановский, АУЫЛЫ Шокан Уалиханов, 3</v>
      </c>
      <c r="T829" t="str">
        <f>"АУЫЛДЫҚ ОКРУГІ Валихановский, АУЫЛЫ Шокан Уалиханов, 3"</f>
        <v>АУЫЛДЫҚ ОКРУГІ Валихановский, АУЫЛЫ Шокан Уалиханов, 3</v>
      </c>
      <c r="U829" t="str">
        <f>"АУЫЛДЫҚ ОКРУГІ Валихановский, АУЫЛЫ Шокан Уалиханов, 3"</f>
        <v>АУЫЛДЫҚ ОКРУГІ Валихановский, АУЫЛЫ Шокан Уалиханов, 3</v>
      </c>
      <c r="AC829" t="str">
        <f t="shared" si="44"/>
        <v>2023-08-25T00:00:00</v>
      </c>
      <c r="AD829" t="str">
        <f t="shared" si="45"/>
        <v>200</v>
      </c>
      <c r="AG829" t="s">
        <v>333</v>
      </c>
      <c r="AH829" t="str">
        <f>"ckool007@mail.ru"</f>
        <v>ckool007@mail.ru</v>
      </c>
      <c r="AI829" t="s">
        <v>203</v>
      </c>
      <c r="AJ829" t="s">
        <v>1157</v>
      </c>
      <c r="AK829" t="s">
        <v>253</v>
      </c>
      <c r="AL829" t="s">
        <v>206</v>
      </c>
      <c r="AN829" t="s">
        <v>254</v>
      </c>
      <c r="AO829">
        <v>1</v>
      </c>
      <c r="AP829" t="s">
        <v>208</v>
      </c>
      <c r="AQ829" t="s">
        <v>209</v>
      </c>
      <c r="AR829" t="s">
        <v>210</v>
      </c>
      <c r="AW829" t="s">
        <v>206</v>
      </c>
      <c r="AX829" t="s">
        <v>211</v>
      </c>
      <c r="AZ829" t="s">
        <v>209</v>
      </c>
      <c r="BI829" t="s">
        <v>212</v>
      </c>
      <c r="BJ829" t="s">
        <v>213</v>
      </c>
      <c r="BK829" t="s">
        <v>214</v>
      </c>
      <c r="BL829" t="s">
        <v>215</v>
      </c>
      <c r="BN829" t="s">
        <v>216</v>
      </c>
      <c r="BO829" t="s">
        <v>209</v>
      </c>
      <c r="BP829" t="s">
        <v>241</v>
      </c>
      <c r="BQ829">
        <v>4</v>
      </c>
      <c r="BS829" t="s">
        <v>219</v>
      </c>
      <c r="BT829" t="s">
        <v>220</v>
      </c>
      <c r="BU829" t="s">
        <v>206</v>
      </c>
      <c r="BX829" t="s">
        <v>221</v>
      </c>
      <c r="BY829" t="s">
        <v>221</v>
      </c>
      <c r="CA829" t="s">
        <v>263</v>
      </c>
      <c r="CB829" t="s">
        <v>223</v>
      </c>
      <c r="CC829" t="s">
        <v>263</v>
      </c>
      <c r="CD829" t="s">
        <v>223</v>
      </c>
      <c r="CE829" t="s">
        <v>242</v>
      </c>
      <c r="CJ829" t="s">
        <v>206</v>
      </c>
      <c r="CK829" t="s">
        <v>474</v>
      </c>
      <c r="CM829" t="s">
        <v>292</v>
      </c>
      <c r="CN829" t="s">
        <v>233</v>
      </c>
      <c r="CP829" t="s">
        <v>212</v>
      </c>
      <c r="CQ829" t="s">
        <v>212</v>
      </c>
      <c r="CR829" t="s">
        <v>212</v>
      </c>
      <c r="CS829" t="s">
        <v>212</v>
      </c>
      <c r="CY829" t="s">
        <v>212</v>
      </c>
      <c r="DB829" t="s">
        <v>234</v>
      </c>
      <c r="DE829" t="s">
        <v>212</v>
      </c>
      <c r="DF829" t="s">
        <v>212</v>
      </c>
      <c r="DG829" t="s">
        <v>235</v>
      </c>
      <c r="DH829" t="s">
        <v>212</v>
      </c>
      <c r="DJ829" t="s">
        <v>236</v>
      </c>
      <c r="DM829" t="s">
        <v>212</v>
      </c>
    </row>
    <row r="830" spans="1:117" x14ac:dyDescent="0.3">
      <c r="A830">
        <v>25834731</v>
      </c>
      <c r="B830">
        <v>308314</v>
      </c>
      <c r="C830" t="str">
        <f>"070806550608"</f>
        <v>070806550608</v>
      </c>
      <c r="D830" t="s">
        <v>1107</v>
      </c>
      <c r="E830" t="s">
        <v>2050</v>
      </c>
      <c r="F830" t="s">
        <v>706</v>
      </c>
      <c r="G830" s="1">
        <v>39300</v>
      </c>
      <c r="I830" t="s">
        <v>240</v>
      </c>
      <c r="J830" t="s">
        <v>200</v>
      </c>
      <c r="K830" t="s">
        <v>201</v>
      </c>
      <c r="R830" t="str">
        <f>"КАЗАХСТАН, АКМОЛИНСКАЯ, СТЕПНОГОРСК, 11, 33"</f>
        <v>КАЗАХСТАН, АКМОЛИНСКАЯ, СТЕПНОГОРСК, 11, 33</v>
      </c>
      <c r="S830" t="str">
        <f>"ҚАЗАҚСТАН, АҚМОЛА, СТЕПНОГОР, 11, 33"</f>
        <v>ҚАЗАҚСТАН, АҚМОЛА, СТЕПНОГОР, 11, 33</v>
      </c>
      <c r="T830" t="str">
        <f>"11, 33"</f>
        <v>11, 33</v>
      </c>
      <c r="U830" t="str">
        <f>"11, 33"</f>
        <v>11, 33</v>
      </c>
      <c r="AC830" t="str">
        <f t="shared" si="44"/>
        <v>2023-08-25T00:00:00</v>
      </c>
      <c r="AD830" t="str">
        <f t="shared" si="45"/>
        <v>200</v>
      </c>
      <c r="AG830" t="s">
        <v>202</v>
      </c>
      <c r="AH830" t="str">
        <f>"ckool007@mail.ru"</f>
        <v>ckool007@mail.ru</v>
      </c>
      <c r="AI830" t="s">
        <v>203</v>
      </c>
      <c r="AJ830" t="s">
        <v>1157</v>
      </c>
      <c r="AK830" t="s">
        <v>253</v>
      </c>
      <c r="AL830" t="s">
        <v>206</v>
      </c>
      <c r="AN830" t="s">
        <v>254</v>
      </c>
      <c r="AO830">
        <v>1</v>
      </c>
      <c r="AP830" t="s">
        <v>208</v>
      </c>
      <c r="AQ830" t="s">
        <v>209</v>
      </c>
      <c r="AR830" t="s">
        <v>210</v>
      </c>
      <c r="AW830" t="s">
        <v>206</v>
      </c>
      <c r="AX830" t="s">
        <v>211</v>
      </c>
      <c r="AZ830" t="s">
        <v>209</v>
      </c>
      <c r="BI830" t="s">
        <v>212</v>
      </c>
      <c r="BJ830" t="s">
        <v>213</v>
      </c>
      <c r="BK830" t="s">
        <v>214</v>
      </c>
      <c r="BL830" t="s">
        <v>215</v>
      </c>
      <c r="BN830" t="s">
        <v>216</v>
      </c>
      <c r="BO830" t="s">
        <v>209</v>
      </c>
      <c r="BP830" t="s">
        <v>241</v>
      </c>
      <c r="BQ830">
        <v>4</v>
      </c>
      <c r="BS830" t="s">
        <v>219</v>
      </c>
      <c r="BT830" t="s">
        <v>220</v>
      </c>
      <c r="BU830" t="s">
        <v>206</v>
      </c>
      <c r="BX830" t="s">
        <v>221</v>
      </c>
      <c r="BY830" t="s">
        <v>221</v>
      </c>
      <c r="CA830" t="s">
        <v>263</v>
      </c>
      <c r="CB830" t="s">
        <v>223</v>
      </c>
      <c r="CC830" t="s">
        <v>256</v>
      </c>
      <c r="CD830" t="s">
        <v>223</v>
      </c>
      <c r="CE830" t="s">
        <v>831</v>
      </c>
      <c r="CF830" t="s">
        <v>816</v>
      </c>
      <c r="CG830" t="s">
        <v>392</v>
      </c>
      <c r="CH830" t="s">
        <v>1019</v>
      </c>
      <c r="CI830" t="s">
        <v>1279</v>
      </c>
      <c r="CJ830" t="s">
        <v>206</v>
      </c>
      <c r="CK830" t="s">
        <v>474</v>
      </c>
      <c r="CM830" t="s">
        <v>292</v>
      </c>
      <c r="CN830" t="s">
        <v>233</v>
      </c>
      <c r="CP830" t="s">
        <v>212</v>
      </c>
      <c r="CQ830" t="s">
        <v>212</v>
      </c>
      <c r="CR830" t="s">
        <v>212</v>
      </c>
      <c r="CS830" t="s">
        <v>212</v>
      </c>
      <c r="CY830" t="s">
        <v>212</v>
      </c>
      <c r="DB830" t="s">
        <v>234</v>
      </c>
      <c r="DE830" t="s">
        <v>212</v>
      </c>
      <c r="DF830" t="s">
        <v>212</v>
      </c>
      <c r="DG830" t="s">
        <v>235</v>
      </c>
      <c r="DH830" t="s">
        <v>212</v>
      </c>
      <c r="DJ830" t="s">
        <v>236</v>
      </c>
      <c r="DM830" t="s">
        <v>206</v>
      </c>
    </row>
    <row r="831" spans="1:117" x14ac:dyDescent="0.3">
      <c r="A831">
        <v>25834734</v>
      </c>
      <c r="B831">
        <v>178352</v>
      </c>
      <c r="C831" t="str">
        <f>"080913651215"</f>
        <v>080913651215</v>
      </c>
      <c r="D831" t="s">
        <v>2051</v>
      </c>
      <c r="E831" t="s">
        <v>2052</v>
      </c>
      <c r="F831" t="s">
        <v>2053</v>
      </c>
      <c r="G831" s="1">
        <v>39704</v>
      </c>
      <c r="I831" t="s">
        <v>199</v>
      </c>
      <c r="J831" t="s">
        <v>200</v>
      </c>
      <c r="K831" t="s">
        <v>201</v>
      </c>
      <c r="R831" t="str">
        <f>"КАЗАХСТАН, АКМОЛИНСКАЯ, СТЕПНОГОРСК, 33, 29"</f>
        <v>КАЗАХСТАН, АКМОЛИНСКАЯ, СТЕПНОГОРСК, 33, 29</v>
      </c>
      <c r="S831" t="str">
        <f>"ҚАЗАҚСТАН, АҚМОЛА, СТЕПНОГОР, 33, 29"</f>
        <v>ҚАЗАҚСТАН, АҚМОЛА, СТЕПНОГОР, 33, 29</v>
      </c>
      <c r="T831" t="str">
        <f>"33, 29"</f>
        <v>33, 29</v>
      </c>
      <c r="U831" t="str">
        <f>"33, 29"</f>
        <v>33, 29</v>
      </c>
      <c r="AC831" t="str">
        <f t="shared" si="44"/>
        <v>2023-08-25T00:00:00</v>
      </c>
      <c r="AD831" t="str">
        <f t="shared" si="45"/>
        <v>200</v>
      </c>
      <c r="AG831" t="s">
        <v>202</v>
      </c>
      <c r="AH831" t="str">
        <f>"skan@mail.ru"</f>
        <v>skan@mail.ru</v>
      </c>
      <c r="AI831" t="s">
        <v>299</v>
      </c>
      <c r="AJ831" t="s">
        <v>1157</v>
      </c>
      <c r="AK831" t="s">
        <v>253</v>
      </c>
      <c r="AL831" t="s">
        <v>206</v>
      </c>
      <c r="AN831" t="s">
        <v>254</v>
      </c>
      <c r="AO831">
        <v>1</v>
      </c>
      <c r="AP831" t="s">
        <v>208</v>
      </c>
      <c r="AQ831" t="s">
        <v>209</v>
      </c>
      <c r="AR831" t="s">
        <v>412</v>
      </c>
      <c r="AW831" t="s">
        <v>206</v>
      </c>
      <c r="AX831" t="s">
        <v>211</v>
      </c>
      <c r="AZ831" t="s">
        <v>209</v>
      </c>
      <c r="BI831" t="s">
        <v>212</v>
      </c>
      <c r="BJ831" t="s">
        <v>213</v>
      </c>
      <c r="BK831" t="s">
        <v>214</v>
      </c>
      <c r="BL831" t="s">
        <v>215</v>
      </c>
      <c r="BN831" t="s">
        <v>216</v>
      </c>
      <c r="BO831" t="s">
        <v>209</v>
      </c>
      <c r="BP831" t="s">
        <v>2054</v>
      </c>
      <c r="BQ831">
        <v>4</v>
      </c>
      <c r="BS831" t="s">
        <v>219</v>
      </c>
      <c r="BT831" t="s">
        <v>220</v>
      </c>
      <c r="BU831" t="s">
        <v>206</v>
      </c>
      <c r="CA831" t="s">
        <v>263</v>
      </c>
      <c r="CB831" t="s">
        <v>223</v>
      </c>
      <c r="CC831" t="s">
        <v>222</v>
      </c>
      <c r="CD831" t="s">
        <v>223</v>
      </c>
      <c r="CE831" t="s">
        <v>242</v>
      </c>
      <c r="CJ831" t="s">
        <v>206</v>
      </c>
      <c r="CK831" t="s">
        <v>474</v>
      </c>
      <c r="CM831" t="s">
        <v>292</v>
      </c>
      <c r="CN831" t="s">
        <v>233</v>
      </c>
      <c r="CP831" t="s">
        <v>212</v>
      </c>
      <c r="CQ831" t="s">
        <v>212</v>
      </c>
      <c r="CR831" t="s">
        <v>212</v>
      </c>
      <c r="CS831" t="s">
        <v>212</v>
      </c>
      <c r="CY831" t="s">
        <v>212</v>
      </c>
      <c r="DB831" t="s">
        <v>234</v>
      </c>
      <c r="DE831" t="s">
        <v>212</v>
      </c>
      <c r="DF831" t="s">
        <v>212</v>
      </c>
      <c r="DG831" t="s">
        <v>235</v>
      </c>
      <c r="DH831" t="s">
        <v>212</v>
      </c>
      <c r="DJ831" t="s">
        <v>236</v>
      </c>
      <c r="DM831" t="s">
        <v>212</v>
      </c>
    </row>
    <row r="832" spans="1:117" x14ac:dyDescent="0.3">
      <c r="A832">
        <v>25834736</v>
      </c>
      <c r="B832">
        <v>306549</v>
      </c>
      <c r="C832" t="str">
        <f>"080317652565"</f>
        <v>080317652565</v>
      </c>
      <c r="D832" t="s">
        <v>2055</v>
      </c>
      <c r="E832" t="s">
        <v>297</v>
      </c>
      <c r="F832" t="s">
        <v>1058</v>
      </c>
      <c r="G832" s="1">
        <v>39524</v>
      </c>
      <c r="I832" t="s">
        <v>199</v>
      </c>
      <c r="J832" t="s">
        <v>200</v>
      </c>
      <c r="K832" t="s">
        <v>201</v>
      </c>
      <c r="R832" t="str">
        <f>"КАЗАХСТАН, АКМОЛИНСКАЯ, СТЕПНОГОРСК, 10, 26"</f>
        <v>КАЗАХСТАН, АКМОЛИНСКАЯ, СТЕПНОГОРСК, 10, 26</v>
      </c>
      <c r="S832" t="str">
        <f>"ҚАЗАҚСТАН, АҚМОЛА, СТЕПНОГОР, 10, 26"</f>
        <v>ҚАЗАҚСТАН, АҚМОЛА, СТЕПНОГОР, 10, 26</v>
      </c>
      <c r="T832" t="str">
        <f>"10, 26"</f>
        <v>10, 26</v>
      </c>
      <c r="U832" t="str">
        <f>"10, 26"</f>
        <v>10, 26</v>
      </c>
      <c r="AC832" t="str">
        <f t="shared" si="44"/>
        <v>2023-08-25T00:00:00</v>
      </c>
      <c r="AD832" t="str">
        <f t="shared" si="45"/>
        <v>200</v>
      </c>
      <c r="AG832" t="s">
        <v>202</v>
      </c>
      <c r="AH832" t="str">
        <f>"ckool007@mail.ru"</f>
        <v>ckool007@mail.ru</v>
      </c>
      <c r="AI832" t="s">
        <v>203</v>
      </c>
      <c r="AJ832" t="s">
        <v>1157</v>
      </c>
      <c r="AK832" t="s">
        <v>253</v>
      </c>
      <c r="AL832" t="s">
        <v>206</v>
      </c>
      <c r="AN832" t="s">
        <v>254</v>
      </c>
      <c r="AO832">
        <v>1</v>
      </c>
      <c r="AP832" t="s">
        <v>208</v>
      </c>
      <c r="AQ832" t="s">
        <v>209</v>
      </c>
      <c r="AR832" t="s">
        <v>210</v>
      </c>
      <c r="AW832" t="s">
        <v>206</v>
      </c>
      <c r="AX832" t="s">
        <v>211</v>
      </c>
      <c r="AZ832" t="s">
        <v>209</v>
      </c>
      <c r="BI832" t="s">
        <v>212</v>
      </c>
      <c r="BJ832" t="s">
        <v>213</v>
      </c>
      <c r="BK832" t="s">
        <v>214</v>
      </c>
      <c r="BL832" t="s">
        <v>215</v>
      </c>
      <c r="BN832" t="s">
        <v>216</v>
      </c>
      <c r="BO832" t="s">
        <v>209</v>
      </c>
      <c r="BP832" t="s">
        <v>241</v>
      </c>
      <c r="BQ832">
        <v>4</v>
      </c>
      <c r="BS832" t="s">
        <v>219</v>
      </c>
      <c r="BT832" t="s">
        <v>220</v>
      </c>
      <c r="BU832" t="s">
        <v>206</v>
      </c>
      <c r="BX832" t="s">
        <v>221</v>
      </c>
      <c r="BY832" t="s">
        <v>221</v>
      </c>
      <c r="CA832" t="s">
        <v>263</v>
      </c>
      <c r="CB832" t="s">
        <v>223</v>
      </c>
      <c r="CC832" t="s">
        <v>222</v>
      </c>
      <c r="CD832" t="s">
        <v>223</v>
      </c>
      <c r="CE832" t="s">
        <v>242</v>
      </c>
      <c r="CJ832" t="s">
        <v>206</v>
      </c>
      <c r="CK832" t="s">
        <v>474</v>
      </c>
      <c r="CM832" t="s">
        <v>292</v>
      </c>
      <c r="CN832" t="s">
        <v>233</v>
      </c>
      <c r="CP832" t="s">
        <v>212</v>
      </c>
      <c r="CQ832" t="s">
        <v>212</v>
      </c>
      <c r="CR832" t="s">
        <v>212</v>
      </c>
      <c r="CS832" t="s">
        <v>212</v>
      </c>
      <c r="CY832" t="s">
        <v>212</v>
      </c>
      <c r="DB832" t="s">
        <v>234</v>
      </c>
      <c r="DE832" t="s">
        <v>212</v>
      </c>
      <c r="DF832" t="s">
        <v>212</v>
      </c>
      <c r="DG832" t="s">
        <v>235</v>
      </c>
      <c r="DH832" t="s">
        <v>212</v>
      </c>
      <c r="DJ832" t="s">
        <v>236</v>
      </c>
      <c r="DM832" t="s">
        <v>212</v>
      </c>
    </row>
    <row r="833" spans="1:117" x14ac:dyDescent="0.3">
      <c r="A833">
        <v>25835098</v>
      </c>
      <c r="B833">
        <v>13373097</v>
      </c>
      <c r="C833" t="str">
        <f>"071025050079"</f>
        <v>071025050079</v>
      </c>
      <c r="D833" t="s">
        <v>1442</v>
      </c>
      <c r="E833" t="s">
        <v>2056</v>
      </c>
      <c r="F833" t="s">
        <v>1444</v>
      </c>
      <c r="G833" s="1">
        <v>39380</v>
      </c>
      <c r="I833" t="s">
        <v>240</v>
      </c>
      <c r="J833" t="s">
        <v>757</v>
      </c>
      <c r="K833" t="s">
        <v>201</v>
      </c>
      <c r="L833" t="s">
        <v>212</v>
      </c>
      <c r="Q833" t="s">
        <v>206</v>
      </c>
      <c r="R833" t="str">
        <f>"-"</f>
        <v>-</v>
      </c>
      <c r="S833" t="str">
        <f>"-"</f>
        <v>-</v>
      </c>
      <c r="T833" t="str">
        <f>"-"</f>
        <v>-</v>
      </c>
      <c r="U833" t="str">
        <f>"-"</f>
        <v>-</v>
      </c>
      <c r="AC833" t="str">
        <f t="shared" si="44"/>
        <v>2023-08-25T00:00:00</v>
      </c>
      <c r="AD833" t="str">
        <f t="shared" si="45"/>
        <v>200</v>
      </c>
      <c r="AE833" t="str">
        <f>"2023-09-01T01:32:18"</f>
        <v>2023-09-01T01:32:18</v>
      </c>
      <c r="AF833" t="str">
        <f>"2024-05-25T01:32:18"</f>
        <v>2024-05-25T01:32:18</v>
      </c>
      <c r="AG833" t="s">
        <v>530</v>
      </c>
      <c r="AH833" t="str">
        <f>"Elgas@mail.ru"</f>
        <v>Elgas@mail.ru</v>
      </c>
      <c r="AI833" t="s">
        <v>274</v>
      </c>
      <c r="AJ833" t="s">
        <v>1157</v>
      </c>
      <c r="AK833" t="s">
        <v>253</v>
      </c>
      <c r="AL833" t="s">
        <v>206</v>
      </c>
      <c r="AN833" t="s">
        <v>254</v>
      </c>
      <c r="AO833">
        <v>1</v>
      </c>
      <c r="AP833" t="s">
        <v>208</v>
      </c>
      <c r="AQ833" t="s">
        <v>209</v>
      </c>
      <c r="AR833" t="s">
        <v>502</v>
      </c>
      <c r="AW833" t="s">
        <v>212</v>
      </c>
      <c r="AZ833" t="s">
        <v>209</v>
      </c>
      <c r="BI833" t="s">
        <v>212</v>
      </c>
      <c r="BJ833" t="s">
        <v>213</v>
      </c>
      <c r="BK833" t="s">
        <v>214</v>
      </c>
      <c r="BL833" t="s">
        <v>215</v>
      </c>
      <c r="BN833" t="s">
        <v>247</v>
      </c>
      <c r="BO833" t="s">
        <v>209</v>
      </c>
      <c r="BP833" t="s">
        <v>241</v>
      </c>
      <c r="BQ833">
        <v>3</v>
      </c>
      <c r="BS833" t="s">
        <v>219</v>
      </c>
      <c r="BT833" t="s">
        <v>220</v>
      </c>
      <c r="BU833" t="s">
        <v>206</v>
      </c>
      <c r="CA833" t="s">
        <v>287</v>
      </c>
      <c r="CC833" t="s">
        <v>209</v>
      </c>
      <c r="CE833" t="s">
        <v>242</v>
      </c>
      <c r="CJ833" t="s">
        <v>206</v>
      </c>
      <c r="CK833" t="s">
        <v>474</v>
      </c>
      <c r="CM833" t="s">
        <v>292</v>
      </c>
      <c r="CN833" t="s">
        <v>233</v>
      </c>
      <c r="CP833" t="s">
        <v>212</v>
      </c>
      <c r="CQ833" t="s">
        <v>212</v>
      </c>
      <c r="CR833" t="s">
        <v>212</v>
      </c>
      <c r="CS833" t="s">
        <v>212</v>
      </c>
      <c r="CY833" t="s">
        <v>212</v>
      </c>
      <c r="DB833" t="s">
        <v>234</v>
      </c>
      <c r="DE833" t="s">
        <v>212</v>
      </c>
      <c r="DF833" t="s">
        <v>212</v>
      </c>
      <c r="DG833" t="s">
        <v>235</v>
      </c>
      <c r="DH833" t="s">
        <v>212</v>
      </c>
      <c r="DJ833" t="s">
        <v>236</v>
      </c>
      <c r="DM833" t="s">
        <v>212</v>
      </c>
    </row>
    <row r="834" spans="1:117" x14ac:dyDescent="0.3">
      <c r="A834">
        <v>25890610</v>
      </c>
      <c r="B834">
        <v>11401897</v>
      </c>
      <c r="C834" t="str">
        <f>"180612505581"</f>
        <v>180612505581</v>
      </c>
      <c r="D834" t="s">
        <v>2057</v>
      </c>
      <c r="E834" t="s">
        <v>1397</v>
      </c>
      <c r="F834" t="s">
        <v>2058</v>
      </c>
      <c r="G834" s="1">
        <v>43263</v>
      </c>
      <c r="I834" t="s">
        <v>240</v>
      </c>
      <c r="J834" t="s">
        <v>200</v>
      </c>
      <c r="K834" t="s">
        <v>268</v>
      </c>
      <c r="Q834" t="s">
        <v>212</v>
      </c>
      <c r="R834" t="str">
        <f>"КАЗАХСТАН, КАРАГАНДИНСКАЯ, КАРАГАНДА, имени Казыбек Би, 66"</f>
        <v>КАЗАХСТАН, КАРАГАНДИНСКАЯ, КАРАГАНДА, имени Казыбек Би, 66</v>
      </c>
      <c r="S834" t="str">
        <f>"ҚАЗАҚСТАН, ҚАРАҒАНДЫ, ҚАРАҒАНДЫ, имени Казыбек Би, 66"</f>
        <v>ҚАЗАҚСТАН, ҚАРАҒАНДЫ, ҚАРАҒАНДЫ, имени Казыбек Би, 66</v>
      </c>
      <c r="T834" t="str">
        <f>"имени Казыбек Би, 66"</f>
        <v>имени Казыбек Би, 66</v>
      </c>
      <c r="U834" t="str">
        <f>"имени Казыбек Би, 66"</f>
        <v>имени Казыбек Би, 66</v>
      </c>
      <c r="AC834" t="str">
        <f t="shared" si="44"/>
        <v>2023-08-25T00:00:00</v>
      </c>
      <c r="AD834" t="str">
        <f>"202"</f>
        <v>202</v>
      </c>
      <c r="AG834" t="s">
        <v>202</v>
      </c>
      <c r="AI834" t="s">
        <v>269</v>
      </c>
      <c r="AJ834" t="s">
        <v>1298</v>
      </c>
      <c r="AK834" t="s">
        <v>205</v>
      </c>
      <c r="AL834" t="s">
        <v>206</v>
      </c>
      <c r="AN834" t="s">
        <v>207</v>
      </c>
      <c r="AO834">
        <v>2</v>
      </c>
      <c r="AP834" t="s">
        <v>208</v>
      </c>
      <c r="AQ834" t="s">
        <v>209</v>
      </c>
      <c r="AR834" t="s">
        <v>502</v>
      </c>
      <c r="AW834" t="s">
        <v>212</v>
      </c>
      <c r="AZ834" t="s">
        <v>209</v>
      </c>
      <c r="BI834" t="s">
        <v>212</v>
      </c>
      <c r="BJ834" t="s">
        <v>213</v>
      </c>
      <c r="BK834" t="s">
        <v>214</v>
      </c>
      <c r="BL834" t="s">
        <v>215</v>
      </c>
      <c r="BN834" t="s">
        <v>661</v>
      </c>
      <c r="BO834" t="s">
        <v>209</v>
      </c>
      <c r="BS834" t="s">
        <v>220</v>
      </c>
      <c r="BX834" t="s">
        <v>234</v>
      </c>
      <c r="BY834" t="s">
        <v>234</v>
      </c>
      <c r="CA834" t="s">
        <v>287</v>
      </c>
      <c r="CC834" t="s">
        <v>209</v>
      </c>
      <c r="CE834" t="s">
        <v>242</v>
      </c>
      <c r="CJ834" t="s">
        <v>206</v>
      </c>
      <c r="CK834" t="s">
        <v>230</v>
      </c>
      <c r="CL834" t="s">
        <v>231</v>
      </c>
      <c r="CM834" t="s">
        <v>232</v>
      </c>
      <c r="CN834" t="s">
        <v>233</v>
      </c>
      <c r="CP834" t="s">
        <v>212</v>
      </c>
      <c r="CQ834" t="s">
        <v>212</v>
      </c>
      <c r="CR834" t="s">
        <v>212</v>
      </c>
      <c r="CS834" t="s">
        <v>212</v>
      </c>
      <c r="CY834" t="s">
        <v>212</v>
      </c>
      <c r="DB834" t="s">
        <v>234</v>
      </c>
      <c r="DE834" t="s">
        <v>212</v>
      </c>
      <c r="DF834" t="s">
        <v>212</v>
      </c>
      <c r="DG834" t="s">
        <v>235</v>
      </c>
      <c r="DH834" t="s">
        <v>212</v>
      </c>
      <c r="DJ834" t="s">
        <v>236</v>
      </c>
      <c r="DM834" t="s">
        <v>212</v>
      </c>
    </row>
    <row r="835" spans="1:117" x14ac:dyDescent="0.3">
      <c r="A835">
        <v>25890717</v>
      </c>
      <c r="B835">
        <v>174858</v>
      </c>
      <c r="C835" t="str">
        <f>"070927000192"</f>
        <v>070927000192</v>
      </c>
      <c r="D835" t="s">
        <v>2059</v>
      </c>
      <c r="E835" t="s">
        <v>2060</v>
      </c>
      <c r="F835" t="s">
        <v>2061</v>
      </c>
      <c r="G835" s="1">
        <v>39352</v>
      </c>
      <c r="I835" t="s">
        <v>240</v>
      </c>
      <c r="J835" t="s">
        <v>757</v>
      </c>
      <c r="K835" t="s">
        <v>201</v>
      </c>
      <c r="L835" t="s">
        <v>212</v>
      </c>
      <c r="Q835" t="s">
        <v>212</v>
      </c>
      <c r="R835" t="str">
        <f>"КАЗАХСТАН, АКМОЛИНСКАЯ, СТЕПНОГОРСК, 44, 32"</f>
        <v>КАЗАХСТАН, АКМОЛИНСКАЯ, СТЕПНОГОРСК, 44, 32</v>
      </c>
      <c r="S835" t="str">
        <f>"ҚАЗАҚСТАН, АҚМОЛА, СТЕПНОГОР, 44, 32"</f>
        <v>ҚАЗАҚСТАН, АҚМОЛА, СТЕПНОГОР, 44, 32</v>
      </c>
      <c r="T835" t="str">
        <f>"44, 32"</f>
        <v>44, 32</v>
      </c>
      <c r="U835" t="str">
        <f>"44, 32"</f>
        <v>44, 32</v>
      </c>
      <c r="AC835" t="str">
        <f t="shared" si="44"/>
        <v>2023-08-25T00:00:00</v>
      </c>
      <c r="AD835" t="str">
        <f>"200"</f>
        <v>200</v>
      </c>
      <c r="AG835" t="s">
        <v>202</v>
      </c>
      <c r="AH835" t="str">
        <f>"step-school@inbox.ru"</f>
        <v>step-school@inbox.ru</v>
      </c>
      <c r="AI835" t="s">
        <v>269</v>
      </c>
      <c r="AJ835" t="s">
        <v>1157</v>
      </c>
      <c r="AK835" t="s">
        <v>253</v>
      </c>
      <c r="AL835" t="s">
        <v>206</v>
      </c>
      <c r="AN835" t="s">
        <v>254</v>
      </c>
      <c r="AO835">
        <v>1</v>
      </c>
      <c r="AP835" t="s">
        <v>208</v>
      </c>
      <c r="AQ835" t="s">
        <v>209</v>
      </c>
      <c r="AR835" t="s">
        <v>210</v>
      </c>
      <c r="AW835" t="s">
        <v>206</v>
      </c>
      <c r="AX835" t="s">
        <v>211</v>
      </c>
      <c r="AZ835" t="s">
        <v>209</v>
      </c>
      <c r="BI835" t="s">
        <v>212</v>
      </c>
      <c r="BJ835" t="s">
        <v>213</v>
      </c>
      <c r="BK835" t="s">
        <v>214</v>
      </c>
      <c r="BL835" t="s">
        <v>215</v>
      </c>
      <c r="BN835" t="s">
        <v>247</v>
      </c>
      <c r="BO835" t="s">
        <v>209</v>
      </c>
      <c r="BP835" t="s">
        <v>241</v>
      </c>
      <c r="BQ835">
        <v>3</v>
      </c>
      <c r="BS835" t="s">
        <v>219</v>
      </c>
      <c r="BT835" t="s">
        <v>220</v>
      </c>
      <c r="BU835" t="s">
        <v>206</v>
      </c>
      <c r="CA835" t="s">
        <v>287</v>
      </c>
      <c r="CC835" t="s">
        <v>209</v>
      </c>
      <c r="CE835" t="s">
        <v>2062</v>
      </c>
      <c r="CF835" t="s">
        <v>2063</v>
      </c>
      <c r="CG835" t="s">
        <v>2064</v>
      </c>
      <c r="CH835" t="s">
        <v>2065</v>
      </c>
      <c r="CI835" t="s">
        <v>2066</v>
      </c>
      <c r="CJ835" t="s">
        <v>206</v>
      </c>
      <c r="CK835" t="s">
        <v>474</v>
      </c>
      <c r="CM835" t="s">
        <v>292</v>
      </c>
      <c r="CN835" t="s">
        <v>233</v>
      </c>
      <c r="CP835" t="s">
        <v>212</v>
      </c>
      <c r="CQ835" t="s">
        <v>212</v>
      </c>
      <c r="CR835" t="s">
        <v>212</v>
      </c>
      <c r="CS835" t="s">
        <v>212</v>
      </c>
      <c r="CY835" t="s">
        <v>212</v>
      </c>
      <c r="DB835" t="s">
        <v>234</v>
      </c>
      <c r="DE835" t="s">
        <v>212</v>
      </c>
      <c r="DF835" t="s">
        <v>212</v>
      </c>
      <c r="DG835" t="s">
        <v>235</v>
      </c>
      <c r="DH835" t="s">
        <v>212</v>
      </c>
      <c r="DJ835" t="s">
        <v>236</v>
      </c>
      <c r="DM835" t="s">
        <v>206</v>
      </c>
    </row>
    <row r="836" spans="1:117" x14ac:dyDescent="0.3">
      <c r="A836">
        <v>25891181</v>
      </c>
      <c r="B836">
        <v>13380995</v>
      </c>
      <c r="C836" t="str">
        <f>"170614502586"</f>
        <v>170614502586</v>
      </c>
      <c r="D836" t="s">
        <v>657</v>
      </c>
      <c r="E836" t="s">
        <v>693</v>
      </c>
      <c r="F836" t="s">
        <v>843</v>
      </c>
      <c r="G836" s="1">
        <v>42900</v>
      </c>
      <c r="I836" t="s">
        <v>240</v>
      </c>
      <c r="J836" t="s">
        <v>200</v>
      </c>
      <c r="K836" t="s">
        <v>260</v>
      </c>
      <c r="Q836" t="s">
        <v>212</v>
      </c>
      <c r="R836" t="str">
        <f>"КАЗАХСТАН, АКМОЛИНСКАЯ, СТЕПНОГОРСК, КЕНТI Аксу, 9, 8"</f>
        <v>КАЗАХСТАН, АКМОЛИНСКАЯ, СТЕПНОГОРСК, КЕНТI Аксу, 9, 8</v>
      </c>
      <c r="S836" t="str">
        <f>"ҚАЗАҚСТАН, АҚМОЛА, СТЕПНОГОР, КЕНТI Аксу, 9, 8"</f>
        <v>ҚАЗАҚСТАН, АҚМОЛА, СТЕПНОГОР, КЕНТI Аксу, 9, 8</v>
      </c>
      <c r="T836" t="str">
        <f>"КЕНТI Аксу, 9, 8"</f>
        <v>КЕНТI Аксу, 9, 8</v>
      </c>
      <c r="U836" t="str">
        <f>"КЕНТI Аксу, 9, 8"</f>
        <v>КЕНТI Аксу, 9, 8</v>
      </c>
      <c r="AC836" t="str">
        <f t="shared" si="44"/>
        <v>2023-08-25T00:00:00</v>
      </c>
      <c r="AD836" t="str">
        <f t="shared" ref="AD836:AD854" si="46">"202"</f>
        <v>202</v>
      </c>
      <c r="AG836" t="s">
        <v>202</v>
      </c>
      <c r="AI836" t="s">
        <v>274</v>
      </c>
      <c r="AJ836" t="s">
        <v>1298</v>
      </c>
      <c r="AK836" t="s">
        <v>205</v>
      </c>
      <c r="AL836" t="s">
        <v>206</v>
      </c>
      <c r="AN836" t="s">
        <v>207</v>
      </c>
      <c r="AO836">
        <v>2</v>
      </c>
      <c r="AP836" t="s">
        <v>208</v>
      </c>
      <c r="AQ836" t="s">
        <v>209</v>
      </c>
      <c r="AR836" t="s">
        <v>502</v>
      </c>
      <c r="AW836" t="s">
        <v>212</v>
      </c>
      <c r="AZ836" t="s">
        <v>209</v>
      </c>
      <c r="BI836" t="s">
        <v>212</v>
      </c>
      <c r="BJ836" t="s">
        <v>213</v>
      </c>
      <c r="BK836" t="s">
        <v>214</v>
      </c>
      <c r="BL836" t="s">
        <v>215</v>
      </c>
      <c r="BN836" t="s">
        <v>661</v>
      </c>
      <c r="BO836" t="s">
        <v>209</v>
      </c>
      <c r="BS836" t="s">
        <v>220</v>
      </c>
      <c r="CA836" t="s">
        <v>287</v>
      </c>
      <c r="CC836" t="s">
        <v>209</v>
      </c>
      <c r="CE836" t="s">
        <v>242</v>
      </c>
      <c r="CJ836" t="s">
        <v>206</v>
      </c>
      <c r="CK836" t="s">
        <v>230</v>
      </c>
      <c r="CL836" t="s">
        <v>231</v>
      </c>
      <c r="CM836" t="s">
        <v>232</v>
      </c>
      <c r="CN836" t="s">
        <v>233</v>
      </c>
      <c r="CP836" t="s">
        <v>212</v>
      </c>
      <c r="CQ836" t="s">
        <v>212</v>
      </c>
      <c r="CR836" t="s">
        <v>212</v>
      </c>
      <c r="CS836" t="s">
        <v>212</v>
      </c>
      <c r="CY836" t="s">
        <v>212</v>
      </c>
      <c r="DB836" t="s">
        <v>234</v>
      </c>
      <c r="DE836" t="s">
        <v>212</v>
      </c>
      <c r="DF836" t="s">
        <v>212</v>
      </c>
      <c r="DG836" t="s">
        <v>235</v>
      </c>
      <c r="DH836" t="s">
        <v>212</v>
      </c>
      <c r="DI836" t="s">
        <v>1026</v>
      </c>
      <c r="DJ836" t="s">
        <v>421</v>
      </c>
      <c r="DK836" t="s">
        <v>707</v>
      </c>
      <c r="DL836" t="s">
        <v>423</v>
      </c>
      <c r="DM836" t="s">
        <v>206</v>
      </c>
    </row>
    <row r="837" spans="1:117" x14ac:dyDescent="0.3">
      <c r="A837">
        <v>25891293</v>
      </c>
      <c r="B837">
        <v>9690003</v>
      </c>
      <c r="C837" t="str">
        <f>"170607505552"</f>
        <v>170607505552</v>
      </c>
      <c r="D837" t="s">
        <v>2067</v>
      </c>
      <c r="E837" t="s">
        <v>532</v>
      </c>
      <c r="F837" t="s">
        <v>682</v>
      </c>
      <c r="G837" s="1">
        <v>42893</v>
      </c>
      <c r="I837" t="s">
        <v>240</v>
      </c>
      <c r="J837" t="s">
        <v>200</v>
      </c>
      <c r="K837" t="s">
        <v>260</v>
      </c>
      <c r="Q837" t="s">
        <v>212</v>
      </c>
      <c r="R837" t="str">
        <f>"КАЗАХСТАН, АКМОЛИНСКАЯ, КОКШЕТАУ, 27"</f>
        <v>КАЗАХСТАН, АКМОЛИНСКАЯ, КОКШЕТАУ, 27</v>
      </c>
      <c r="S837" t="str">
        <f>"ҚАЗАҚСТАН, АҚМОЛА, КӨКШЕТАУ, 27"</f>
        <v>ҚАЗАҚСТАН, АҚМОЛА, КӨКШЕТАУ, 27</v>
      </c>
      <c r="T837" t="str">
        <f>"27"</f>
        <v>27</v>
      </c>
      <c r="U837" t="str">
        <f>"27"</f>
        <v>27</v>
      </c>
      <c r="AC837" t="str">
        <f t="shared" si="44"/>
        <v>2023-08-25T00:00:00</v>
      </c>
      <c r="AD837" t="str">
        <f t="shared" si="46"/>
        <v>202</v>
      </c>
      <c r="AG837" t="s">
        <v>202</v>
      </c>
      <c r="AI837" t="s">
        <v>274</v>
      </c>
      <c r="AJ837" t="s">
        <v>1298</v>
      </c>
      <c r="AK837" t="s">
        <v>205</v>
      </c>
      <c r="AL837" t="s">
        <v>206</v>
      </c>
      <c r="AN837" t="s">
        <v>207</v>
      </c>
      <c r="AO837">
        <v>2</v>
      </c>
      <c r="AP837" t="s">
        <v>208</v>
      </c>
      <c r="AQ837" t="s">
        <v>209</v>
      </c>
      <c r="AR837" t="s">
        <v>502</v>
      </c>
      <c r="AW837" t="s">
        <v>212</v>
      </c>
      <c r="AZ837" t="s">
        <v>209</v>
      </c>
      <c r="BI837" t="s">
        <v>212</v>
      </c>
      <c r="BJ837" t="s">
        <v>213</v>
      </c>
      <c r="BK837" t="s">
        <v>214</v>
      </c>
      <c r="BL837" t="s">
        <v>215</v>
      </c>
      <c r="BN837" t="s">
        <v>661</v>
      </c>
      <c r="BO837" t="s">
        <v>209</v>
      </c>
      <c r="BS837" t="s">
        <v>220</v>
      </c>
      <c r="CA837" t="s">
        <v>287</v>
      </c>
      <c r="CC837" t="s">
        <v>209</v>
      </c>
      <c r="CE837" t="s">
        <v>242</v>
      </c>
      <c r="CJ837" t="s">
        <v>206</v>
      </c>
      <c r="CK837" t="s">
        <v>230</v>
      </c>
      <c r="CL837" t="s">
        <v>231</v>
      </c>
      <c r="CM837" t="s">
        <v>232</v>
      </c>
      <c r="CN837" t="s">
        <v>233</v>
      </c>
      <c r="CP837" t="s">
        <v>212</v>
      </c>
      <c r="CQ837" t="s">
        <v>212</v>
      </c>
      <c r="CR837" t="s">
        <v>212</v>
      </c>
      <c r="CS837" t="s">
        <v>212</v>
      </c>
      <c r="CY837" t="s">
        <v>212</v>
      </c>
      <c r="DB837" t="s">
        <v>234</v>
      </c>
      <c r="DE837" t="s">
        <v>212</v>
      </c>
      <c r="DF837" t="s">
        <v>212</v>
      </c>
      <c r="DG837" t="s">
        <v>235</v>
      </c>
      <c r="DH837" t="s">
        <v>212</v>
      </c>
      <c r="DJ837" t="s">
        <v>236</v>
      </c>
      <c r="DM837" t="s">
        <v>212</v>
      </c>
    </row>
    <row r="838" spans="1:117" x14ac:dyDescent="0.3">
      <c r="A838">
        <v>25891396</v>
      </c>
      <c r="B838">
        <v>9103162</v>
      </c>
      <c r="C838" t="str">
        <f>"170512604940"</f>
        <v>170512604940</v>
      </c>
      <c r="D838" t="s">
        <v>2068</v>
      </c>
      <c r="E838" t="s">
        <v>648</v>
      </c>
      <c r="F838" t="s">
        <v>2069</v>
      </c>
      <c r="G838" s="1">
        <v>42867</v>
      </c>
      <c r="I838" t="s">
        <v>199</v>
      </c>
      <c r="J838" t="s">
        <v>200</v>
      </c>
      <c r="K838" t="s">
        <v>201</v>
      </c>
      <c r="Q838" t="s">
        <v>212</v>
      </c>
      <c r="R838" t="str">
        <f>"КАЗАХСТАН, АКМОЛИНСКАЯ, СТЕПНОГОРСК, 44, 3"</f>
        <v>КАЗАХСТАН, АКМОЛИНСКАЯ, СТЕПНОГОРСК, 44, 3</v>
      </c>
      <c r="S838" t="str">
        <f>"ҚАЗАҚСТАН, АҚМОЛА, СТЕПНОГОР, 44, 3"</f>
        <v>ҚАЗАҚСТАН, АҚМОЛА, СТЕПНОГОР, 44, 3</v>
      </c>
      <c r="T838" t="str">
        <f>"44, 3"</f>
        <v>44, 3</v>
      </c>
      <c r="U838" t="str">
        <f>"44, 3"</f>
        <v>44, 3</v>
      </c>
      <c r="AC838" t="str">
        <f t="shared" si="44"/>
        <v>2023-08-25T00:00:00</v>
      </c>
      <c r="AD838" t="str">
        <f t="shared" si="46"/>
        <v>202</v>
      </c>
      <c r="AG838" t="s">
        <v>202</v>
      </c>
      <c r="AI838" t="s">
        <v>299</v>
      </c>
      <c r="AJ838" t="s">
        <v>1298</v>
      </c>
      <c r="AK838" t="s">
        <v>205</v>
      </c>
      <c r="AL838" t="s">
        <v>206</v>
      </c>
      <c r="AN838" t="s">
        <v>207</v>
      </c>
      <c r="AO838">
        <v>2</v>
      </c>
      <c r="AP838" t="s">
        <v>208</v>
      </c>
      <c r="AQ838" t="s">
        <v>209</v>
      </c>
      <c r="AR838" t="s">
        <v>502</v>
      </c>
      <c r="AW838" t="s">
        <v>212</v>
      </c>
      <c r="AZ838" t="s">
        <v>209</v>
      </c>
      <c r="BI838" t="s">
        <v>212</v>
      </c>
      <c r="BJ838" t="s">
        <v>213</v>
      </c>
      <c r="BK838" t="s">
        <v>214</v>
      </c>
      <c r="BL838" t="s">
        <v>215</v>
      </c>
      <c r="BN838" t="s">
        <v>661</v>
      </c>
      <c r="BO838" t="s">
        <v>209</v>
      </c>
      <c r="BS838" t="s">
        <v>220</v>
      </c>
      <c r="CA838" t="s">
        <v>287</v>
      </c>
      <c r="CC838" t="s">
        <v>209</v>
      </c>
      <c r="CE838" t="s">
        <v>242</v>
      </c>
      <c r="CJ838" t="s">
        <v>206</v>
      </c>
      <c r="CK838" t="s">
        <v>230</v>
      </c>
      <c r="CL838" t="s">
        <v>231</v>
      </c>
      <c r="CM838" t="s">
        <v>232</v>
      </c>
      <c r="CN838" t="s">
        <v>233</v>
      </c>
      <c r="CP838" t="s">
        <v>212</v>
      </c>
      <c r="CQ838" t="s">
        <v>212</v>
      </c>
      <c r="CR838" t="s">
        <v>212</v>
      </c>
      <c r="CS838" t="s">
        <v>212</v>
      </c>
      <c r="CY838" t="s">
        <v>212</v>
      </c>
      <c r="DB838" t="s">
        <v>234</v>
      </c>
      <c r="DE838" t="s">
        <v>212</v>
      </c>
      <c r="DF838" t="s">
        <v>212</v>
      </c>
      <c r="DG838" t="s">
        <v>235</v>
      </c>
      <c r="DH838" t="s">
        <v>212</v>
      </c>
      <c r="DJ838" t="s">
        <v>236</v>
      </c>
      <c r="DM838" t="s">
        <v>212</v>
      </c>
    </row>
    <row r="839" spans="1:117" x14ac:dyDescent="0.3">
      <c r="A839">
        <v>25891488</v>
      </c>
      <c r="B839">
        <v>10741742</v>
      </c>
      <c r="C839" t="str">
        <f>"171103505025"</f>
        <v>171103505025</v>
      </c>
      <c r="D839" t="s">
        <v>2070</v>
      </c>
      <c r="E839" t="s">
        <v>693</v>
      </c>
      <c r="F839" t="s">
        <v>290</v>
      </c>
      <c r="G839" s="1">
        <v>43042</v>
      </c>
      <c r="I839" t="s">
        <v>240</v>
      </c>
      <c r="J839" t="s">
        <v>200</v>
      </c>
      <c r="K839" t="s">
        <v>260</v>
      </c>
      <c r="Q839" t="s">
        <v>212</v>
      </c>
      <c r="R839" t="str">
        <f>"КАЗАХСТАН, АКМОЛИНСКАЯ, СТЕПНОГОРСК, СТЕПНОГОРСК, 19, 16"</f>
        <v>КАЗАХСТАН, АКМОЛИНСКАЯ, СТЕПНОГОРСК, СТЕПНОГОРСК, 19, 16</v>
      </c>
      <c r="S839" t="str">
        <f>"ҚАЗАҚСТАН, АҚМОЛА, СТЕПНОГОР, СТЕПНОГОРСК, 19, 16"</f>
        <v>ҚАЗАҚСТАН, АҚМОЛА, СТЕПНОГОР, СТЕПНОГОРСК, 19, 16</v>
      </c>
      <c r="T839" t="str">
        <f>"СТЕПНОГОРСК, 19, 16"</f>
        <v>СТЕПНОГОРСК, 19, 16</v>
      </c>
      <c r="U839" t="str">
        <f>"СТЕПНОГОРСК, 19, 16"</f>
        <v>СТЕПНОГОРСК, 19, 16</v>
      </c>
      <c r="AC839" t="str">
        <f t="shared" si="44"/>
        <v>2023-08-25T00:00:00</v>
      </c>
      <c r="AD839" t="str">
        <f t="shared" si="46"/>
        <v>202</v>
      </c>
      <c r="AG839" t="s">
        <v>202</v>
      </c>
      <c r="AI839" t="s">
        <v>299</v>
      </c>
      <c r="AJ839" t="s">
        <v>1298</v>
      </c>
      <c r="AK839" t="s">
        <v>205</v>
      </c>
      <c r="AL839" t="s">
        <v>206</v>
      </c>
      <c r="AN839" t="s">
        <v>207</v>
      </c>
      <c r="AO839">
        <v>2</v>
      </c>
      <c r="AP839" t="s">
        <v>208</v>
      </c>
      <c r="AQ839" t="s">
        <v>209</v>
      </c>
      <c r="AR839" t="s">
        <v>502</v>
      </c>
      <c r="AW839" t="s">
        <v>212</v>
      </c>
      <c r="AZ839" t="s">
        <v>209</v>
      </c>
      <c r="BI839" t="s">
        <v>212</v>
      </c>
      <c r="BJ839" t="s">
        <v>213</v>
      </c>
      <c r="BK839" t="s">
        <v>214</v>
      </c>
      <c r="BL839" t="s">
        <v>215</v>
      </c>
      <c r="BN839" t="s">
        <v>661</v>
      </c>
      <c r="BO839" t="s">
        <v>209</v>
      </c>
      <c r="BS839" t="s">
        <v>220</v>
      </c>
      <c r="CA839" t="s">
        <v>287</v>
      </c>
      <c r="CC839" t="s">
        <v>209</v>
      </c>
      <c r="CE839" t="s">
        <v>242</v>
      </c>
      <c r="CJ839" t="s">
        <v>206</v>
      </c>
      <c r="CK839" t="s">
        <v>230</v>
      </c>
      <c r="CL839" t="s">
        <v>231</v>
      </c>
      <c r="CM839" t="s">
        <v>232</v>
      </c>
      <c r="CN839" t="s">
        <v>233</v>
      </c>
      <c r="CP839" t="s">
        <v>212</v>
      </c>
      <c r="CQ839" t="s">
        <v>212</v>
      </c>
      <c r="CR839" t="s">
        <v>212</v>
      </c>
      <c r="CS839" t="s">
        <v>212</v>
      </c>
      <c r="CY839" t="s">
        <v>212</v>
      </c>
      <c r="DB839" t="s">
        <v>234</v>
      </c>
      <c r="DE839" t="s">
        <v>212</v>
      </c>
      <c r="DF839" t="s">
        <v>212</v>
      </c>
      <c r="DG839" t="s">
        <v>235</v>
      </c>
      <c r="DH839" t="s">
        <v>212</v>
      </c>
      <c r="DJ839" t="s">
        <v>236</v>
      </c>
      <c r="DM839" t="s">
        <v>212</v>
      </c>
    </row>
    <row r="840" spans="1:117" x14ac:dyDescent="0.3">
      <c r="A840">
        <v>25891575</v>
      </c>
      <c r="B840">
        <v>7301001</v>
      </c>
      <c r="C840" t="str">
        <f>"170321602440"</f>
        <v>170321602440</v>
      </c>
      <c r="D840" t="s">
        <v>748</v>
      </c>
      <c r="E840" t="s">
        <v>730</v>
      </c>
      <c r="F840" t="s">
        <v>750</v>
      </c>
      <c r="G840" s="1">
        <v>42815</v>
      </c>
      <c r="I840" t="s">
        <v>199</v>
      </c>
      <c r="J840" t="s">
        <v>200</v>
      </c>
      <c r="K840" t="s">
        <v>201</v>
      </c>
      <c r="Q840" t="s">
        <v>212</v>
      </c>
      <c r="R840" t="str">
        <f>"КАЗАХСТАН, АКМОЛИНСКАЯ, СТЕПНОГОРСК, ЗАВОДСКОЙ, 11, 1"</f>
        <v>КАЗАХСТАН, АКМОЛИНСКАЯ, СТЕПНОГОРСК, ЗАВОДСКОЙ, 11, 1</v>
      </c>
      <c r="S840" t="str">
        <f>"ҚАЗАҚСТАН, АҚМОЛА, СТЕПНОГОР, ЗАВОДСКОЙ, 11, 1"</f>
        <v>ҚАЗАҚСТАН, АҚМОЛА, СТЕПНОГОР, ЗАВОДСКОЙ, 11, 1</v>
      </c>
      <c r="T840" t="str">
        <f>"ЗАВОДСКОЙ, 11, 1"</f>
        <v>ЗАВОДСКОЙ, 11, 1</v>
      </c>
      <c r="U840" t="str">
        <f>"ЗАВОДСКОЙ, 11, 1"</f>
        <v>ЗАВОДСКОЙ, 11, 1</v>
      </c>
      <c r="AC840" t="str">
        <f t="shared" si="44"/>
        <v>2023-08-25T00:00:00</v>
      </c>
      <c r="AD840" t="str">
        <f t="shared" si="46"/>
        <v>202</v>
      </c>
      <c r="AG840" t="s">
        <v>202</v>
      </c>
      <c r="AI840" t="s">
        <v>274</v>
      </c>
      <c r="AJ840" t="s">
        <v>1298</v>
      </c>
      <c r="AK840" t="s">
        <v>205</v>
      </c>
      <c r="AL840" t="s">
        <v>206</v>
      </c>
      <c r="AN840" t="s">
        <v>207</v>
      </c>
      <c r="AO840">
        <v>2</v>
      </c>
      <c r="AP840" t="s">
        <v>208</v>
      </c>
      <c r="AQ840" t="s">
        <v>209</v>
      </c>
      <c r="AR840" t="s">
        <v>502</v>
      </c>
      <c r="AW840" t="s">
        <v>212</v>
      </c>
      <c r="AZ840" t="s">
        <v>209</v>
      </c>
      <c r="BI840" t="s">
        <v>212</v>
      </c>
      <c r="BJ840" t="s">
        <v>213</v>
      </c>
      <c r="BK840" t="s">
        <v>214</v>
      </c>
      <c r="BL840" t="s">
        <v>215</v>
      </c>
      <c r="BN840" t="s">
        <v>661</v>
      </c>
      <c r="BO840" t="s">
        <v>209</v>
      </c>
      <c r="BS840" t="s">
        <v>220</v>
      </c>
      <c r="CA840" t="s">
        <v>287</v>
      </c>
      <c r="CC840" t="s">
        <v>209</v>
      </c>
      <c r="CE840" t="s">
        <v>242</v>
      </c>
      <c r="CJ840" t="s">
        <v>206</v>
      </c>
      <c r="CK840" t="s">
        <v>230</v>
      </c>
      <c r="CL840" t="s">
        <v>231</v>
      </c>
      <c r="CM840" t="s">
        <v>232</v>
      </c>
      <c r="CN840" t="s">
        <v>233</v>
      </c>
      <c r="CP840" t="s">
        <v>212</v>
      </c>
      <c r="CQ840" t="s">
        <v>212</v>
      </c>
      <c r="CR840" t="s">
        <v>212</v>
      </c>
      <c r="CS840" t="s">
        <v>212</v>
      </c>
      <c r="CY840" t="s">
        <v>212</v>
      </c>
      <c r="DB840" t="s">
        <v>234</v>
      </c>
      <c r="DE840" t="s">
        <v>212</v>
      </c>
      <c r="DF840" t="s">
        <v>212</v>
      </c>
      <c r="DG840" t="s">
        <v>235</v>
      </c>
      <c r="DH840" t="s">
        <v>212</v>
      </c>
      <c r="DJ840" t="s">
        <v>236</v>
      </c>
      <c r="DM840" t="s">
        <v>206</v>
      </c>
    </row>
    <row r="841" spans="1:117" x14ac:dyDescent="0.3">
      <c r="A841">
        <v>25891762</v>
      </c>
      <c r="B841">
        <v>13381072</v>
      </c>
      <c r="C841" t="str">
        <f>"170830600491"</f>
        <v>170830600491</v>
      </c>
      <c r="D841" t="s">
        <v>1438</v>
      </c>
      <c r="E841" t="s">
        <v>791</v>
      </c>
      <c r="F841" t="s">
        <v>1841</v>
      </c>
      <c r="G841" s="1">
        <v>42977</v>
      </c>
      <c r="I841" t="s">
        <v>199</v>
      </c>
      <c r="J841" t="s">
        <v>200</v>
      </c>
      <c r="K841" t="s">
        <v>260</v>
      </c>
      <c r="Q841" t="s">
        <v>212</v>
      </c>
      <c r="R841" t="str">
        <f>"КАЗАХСТАН, АКМОЛИНСКАЯ, СТЕПНОГОРСК, Заводской, 27А, 24"</f>
        <v>КАЗАХСТАН, АКМОЛИНСКАЯ, СТЕПНОГОРСК, Заводской, 27А, 24</v>
      </c>
      <c r="S841" t="str">
        <f>"ҚАЗАҚСТАН, АҚМОЛА, СТЕПНОГОР, Заводской, 27А, 24"</f>
        <v>ҚАЗАҚСТАН, АҚМОЛА, СТЕПНОГОР, Заводской, 27А, 24</v>
      </c>
      <c r="T841" t="str">
        <f>"Заводской, 27А, 24"</f>
        <v>Заводской, 27А, 24</v>
      </c>
      <c r="U841" t="str">
        <f>"Заводской, 27А, 24"</f>
        <v>Заводской, 27А, 24</v>
      </c>
      <c r="AC841" t="str">
        <f t="shared" si="44"/>
        <v>2023-08-25T00:00:00</v>
      </c>
      <c r="AD841" t="str">
        <f t="shared" si="46"/>
        <v>202</v>
      </c>
      <c r="AG841" t="s">
        <v>202</v>
      </c>
      <c r="AI841" t="s">
        <v>269</v>
      </c>
      <c r="AJ841" t="s">
        <v>1298</v>
      </c>
      <c r="AK841" t="s">
        <v>205</v>
      </c>
      <c r="AL841" t="s">
        <v>206</v>
      </c>
      <c r="AN841" t="s">
        <v>207</v>
      </c>
      <c r="AO841">
        <v>2</v>
      </c>
      <c r="AP841" t="s">
        <v>208</v>
      </c>
      <c r="AQ841" t="s">
        <v>209</v>
      </c>
      <c r="AR841" t="s">
        <v>502</v>
      </c>
      <c r="AW841" t="s">
        <v>212</v>
      </c>
      <c r="AZ841" t="s">
        <v>209</v>
      </c>
      <c r="BI841" t="s">
        <v>212</v>
      </c>
      <c r="BJ841" t="s">
        <v>213</v>
      </c>
      <c r="BK841" t="s">
        <v>214</v>
      </c>
      <c r="BL841" t="s">
        <v>215</v>
      </c>
      <c r="BN841" t="s">
        <v>661</v>
      </c>
      <c r="BO841" t="s">
        <v>209</v>
      </c>
      <c r="BS841" t="s">
        <v>220</v>
      </c>
      <c r="CA841" t="s">
        <v>287</v>
      </c>
      <c r="CC841" t="s">
        <v>209</v>
      </c>
      <c r="CE841" t="s">
        <v>242</v>
      </c>
      <c r="CJ841" t="s">
        <v>206</v>
      </c>
      <c r="CK841" t="s">
        <v>230</v>
      </c>
      <c r="CL841" t="s">
        <v>231</v>
      </c>
      <c r="CM841" t="s">
        <v>232</v>
      </c>
      <c r="CN841" t="s">
        <v>233</v>
      </c>
      <c r="CP841" t="s">
        <v>212</v>
      </c>
      <c r="CQ841" t="s">
        <v>212</v>
      </c>
      <c r="CR841" t="s">
        <v>212</v>
      </c>
      <c r="CS841" t="s">
        <v>212</v>
      </c>
      <c r="CY841" t="s">
        <v>212</v>
      </c>
      <c r="DB841" t="s">
        <v>234</v>
      </c>
      <c r="DE841" t="s">
        <v>212</v>
      </c>
      <c r="DF841" t="s">
        <v>212</v>
      </c>
      <c r="DG841" t="s">
        <v>235</v>
      </c>
      <c r="DH841" t="s">
        <v>212</v>
      </c>
      <c r="DJ841" t="s">
        <v>236</v>
      </c>
      <c r="DM841" t="s">
        <v>212</v>
      </c>
    </row>
    <row r="842" spans="1:117" x14ac:dyDescent="0.3">
      <c r="A842">
        <v>25891903</v>
      </c>
      <c r="B842">
        <v>13381082</v>
      </c>
      <c r="C842" t="str">
        <f>"170529502297"</f>
        <v>170529502297</v>
      </c>
      <c r="D842" t="s">
        <v>2071</v>
      </c>
      <c r="E842" t="s">
        <v>2072</v>
      </c>
      <c r="F842" t="s">
        <v>239</v>
      </c>
      <c r="G842" s="1">
        <v>42884</v>
      </c>
      <c r="I842" t="s">
        <v>240</v>
      </c>
      <c r="J842" t="s">
        <v>200</v>
      </c>
      <c r="K842" t="s">
        <v>201</v>
      </c>
      <c r="Q842" t="s">
        <v>212</v>
      </c>
      <c r="R842" t="str">
        <f>"КАЗАХСТАН, АКМОЛИНСКАЯ, СТЕПНОГОРСК, 6"</f>
        <v>КАЗАХСТАН, АКМОЛИНСКАЯ, СТЕПНОГОРСК, 6</v>
      </c>
      <c r="S842" t="str">
        <f>"ҚАЗАҚСТАН, АҚМОЛА, СТЕПНОГОР, 6"</f>
        <v>ҚАЗАҚСТАН, АҚМОЛА, СТЕПНОГОР, 6</v>
      </c>
      <c r="T842" t="str">
        <f>"6"</f>
        <v>6</v>
      </c>
      <c r="U842" t="str">
        <f>"6"</f>
        <v>6</v>
      </c>
      <c r="AC842" t="str">
        <f t="shared" si="44"/>
        <v>2023-08-25T00:00:00</v>
      </c>
      <c r="AD842" t="str">
        <f t="shared" si="46"/>
        <v>202</v>
      </c>
      <c r="AG842" t="s">
        <v>202</v>
      </c>
      <c r="AI842" t="s">
        <v>269</v>
      </c>
      <c r="AJ842" t="s">
        <v>1298</v>
      </c>
      <c r="AK842" t="s">
        <v>205</v>
      </c>
      <c r="AL842" t="s">
        <v>206</v>
      </c>
      <c r="AN842" t="s">
        <v>207</v>
      </c>
      <c r="AO842">
        <v>2</v>
      </c>
      <c r="AP842" t="s">
        <v>208</v>
      </c>
      <c r="AQ842" t="s">
        <v>209</v>
      </c>
      <c r="AR842" t="s">
        <v>502</v>
      </c>
      <c r="AW842" t="s">
        <v>212</v>
      </c>
      <c r="AZ842" t="s">
        <v>209</v>
      </c>
      <c r="BI842" t="s">
        <v>212</v>
      </c>
      <c r="BJ842" t="s">
        <v>213</v>
      </c>
      <c r="BK842" t="s">
        <v>214</v>
      </c>
      <c r="BL842" t="s">
        <v>215</v>
      </c>
      <c r="BN842" t="s">
        <v>661</v>
      </c>
      <c r="BO842" t="s">
        <v>209</v>
      </c>
      <c r="BS842" t="s">
        <v>220</v>
      </c>
      <c r="CA842" t="s">
        <v>287</v>
      </c>
      <c r="CC842" t="s">
        <v>209</v>
      </c>
      <c r="CE842" t="s">
        <v>242</v>
      </c>
      <c r="CJ842" t="s">
        <v>206</v>
      </c>
      <c r="CK842" t="s">
        <v>230</v>
      </c>
      <c r="CL842" t="s">
        <v>231</v>
      </c>
      <c r="CM842" t="s">
        <v>232</v>
      </c>
      <c r="CN842" t="s">
        <v>233</v>
      </c>
      <c r="CP842" t="s">
        <v>212</v>
      </c>
      <c r="CQ842" t="s">
        <v>212</v>
      </c>
      <c r="CR842" t="s">
        <v>212</v>
      </c>
      <c r="CS842" t="s">
        <v>212</v>
      </c>
      <c r="CY842" t="s">
        <v>212</v>
      </c>
      <c r="DB842" t="s">
        <v>234</v>
      </c>
      <c r="DE842" t="s">
        <v>212</v>
      </c>
      <c r="DF842" t="s">
        <v>212</v>
      </c>
      <c r="DG842" t="s">
        <v>235</v>
      </c>
      <c r="DH842" t="s">
        <v>212</v>
      </c>
      <c r="DJ842" t="s">
        <v>421</v>
      </c>
      <c r="DK842" t="s">
        <v>707</v>
      </c>
      <c r="DL842" t="s">
        <v>423</v>
      </c>
      <c r="DM842" t="s">
        <v>206</v>
      </c>
    </row>
    <row r="843" spans="1:117" x14ac:dyDescent="0.3">
      <c r="A843">
        <v>25891975</v>
      </c>
      <c r="B843">
        <v>9698814</v>
      </c>
      <c r="C843" t="str">
        <f>"170723500136"</f>
        <v>170723500136</v>
      </c>
      <c r="D843" t="s">
        <v>2073</v>
      </c>
      <c r="E843" t="s">
        <v>548</v>
      </c>
      <c r="F843" t="s">
        <v>2074</v>
      </c>
      <c r="G843" s="1">
        <v>42939</v>
      </c>
      <c r="I843" t="s">
        <v>240</v>
      </c>
      <c r="J843" t="s">
        <v>200</v>
      </c>
      <c r="K843" t="s">
        <v>201</v>
      </c>
      <c r="Q843" t="s">
        <v>212</v>
      </c>
      <c r="R843" t="str">
        <f>"КАЗАХСТАН, АКМОЛИНСКАЯ, СТЕПНОГОРСК, 46, 7"</f>
        <v>КАЗАХСТАН, АКМОЛИНСКАЯ, СТЕПНОГОРСК, 46, 7</v>
      </c>
      <c r="S843" t="str">
        <f>"ҚАЗАҚСТАН, АҚМОЛА, СТЕПНОГОР, 46, 7"</f>
        <v>ҚАЗАҚСТАН, АҚМОЛА, СТЕПНОГОР, 46, 7</v>
      </c>
      <c r="T843" t="str">
        <f>"46, 7"</f>
        <v>46, 7</v>
      </c>
      <c r="U843" t="str">
        <f>"46, 7"</f>
        <v>46, 7</v>
      </c>
      <c r="AC843" t="str">
        <f t="shared" si="44"/>
        <v>2023-08-25T00:00:00</v>
      </c>
      <c r="AD843" t="str">
        <f t="shared" si="46"/>
        <v>202</v>
      </c>
      <c r="AG843" t="s">
        <v>202</v>
      </c>
      <c r="AI843" t="s">
        <v>299</v>
      </c>
      <c r="AJ843" t="s">
        <v>1298</v>
      </c>
      <c r="AK843" t="s">
        <v>205</v>
      </c>
      <c r="AL843" t="s">
        <v>206</v>
      </c>
      <c r="AN843" t="s">
        <v>207</v>
      </c>
      <c r="AO843">
        <v>2</v>
      </c>
      <c r="AP843" t="s">
        <v>208</v>
      </c>
      <c r="AQ843" t="s">
        <v>209</v>
      </c>
      <c r="AR843" t="s">
        <v>502</v>
      </c>
      <c r="AW843" t="s">
        <v>212</v>
      </c>
      <c r="AZ843" t="s">
        <v>209</v>
      </c>
      <c r="BI843" t="s">
        <v>212</v>
      </c>
      <c r="BJ843" t="s">
        <v>213</v>
      </c>
      <c r="BK843" t="s">
        <v>214</v>
      </c>
      <c r="BL843" t="s">
        <v>215</v>
      </c>
      <c r="BN843" t="s">
        <v>661</v>
      </c>
      <c r="BO843" t="s">
        <v>209</v>
      </c>
      <c r="BS843" t="s">
        <v>220</v>
      </c>
      <c r="CA843" t="s">
        <v>287</v>
      </c>
      <c r="CC843" t="s">
        <v>209</v>
      </c>
      <c r="CE843" t="s">
        <v>242</v>
      </c>
      <c r="CJ843" t="s">
        <v>206</v>
      </c>
      <c r="CK843" t="s">
        <v>230</v>
      </c>
      <c r="CL843" t="s">
        <v>231</v>
      </c>
      <c r="CM843" t="s">
        <v>232</v>
      </c>
      <c r="CN843" t="s">
        <v>233</v>
      </c>
      <c r="CP843" t="s">
        <v>212</v>
      </c>
      <c r="CQ843" t="s">
        <v>212</v>
      </c>
      <c r="CR843" t="s">
        <v>212</v>
      </c>
      <c r="CS843" t="s">
        <v>212</v>
      </c>
      <c r="CY843" t="s">
        <v>212</v>
      </c>
      <c r="DB843" t="s">
        <v>234</v>
      </c>
      <c r="DE843" t="s">
        <v>212</v>
      </c>
      <c r="DF843" t="s">
        <v>212</v>
      </c>
      <c r="DG843" t="s">
        <v>235</v>
      </c>
      <c r="DH843" t="s">
        <v>212</v>
      </c>
      <c r="DJ843" t="s">
        <v>236</v>
      </c>
      <c r="DM843" t="s">
        <v>212</v>
      </c>
    </row>
    <row r="844" spans="1:117" x14ac:dyDescent="0.3">
      <c r="A844">
        <v>25898903</v>
      </c>
      <c r="B844">
        <v>9652650</v>
      </c>
      <c r="C844" t="str">
        <f>"170316501855"</f>
        <v>170316501855</v>
      </c>
      <c r="D844" t="s">
        <v>621</v>
      </c>
      <c r="E844" t="s">
        <v>2075</v>
      </c>
      <c r="F844" t="s">
        <v>2076</v>
      </c>
      <c r="G844" s="1">
        <v>42810</v>
      </c>
      <c r="I844" t="s">
        <v>240</v>
      </c>
      <c r="J844" t="s">
        <v>200</v>
      </c>
      <c r="K844" t="s">
        <v>201</v>
      </c>
      <c r="Q844" t="s">
        <v>212</v>
      </c>
      <c r="R844" t="str">
        <f>"КАЗАХСТАН, АКМОЛИНСКАЯ, СТЕПНОГОРСК, СТЕПНОГОРСК, 40, 72"</f>
        <v>КАЗАХСТАН, АКМОЛИНСКАЯ, СТЕПНОГОРСК, СТЕПНОГОРСК, 40, 72</v>
      </c>
      <c r="S844" t="str">
        <f>"ҚАЗАҚСТАН, АҚМОЛА, СТЕПНОГОР, СТЕПНОГОРСК, 40, 72"</f>
        <v>ҚАЗАҚСТАН, АҚМОЛА, СТЕПНОГОР, СТЕПНОГОРСК, 40, 72</v>
      </c>
      <c r="T844" t="str">
        <f>"СТЕПНОГОРСК, 40, 72"</f>
        <v>СТЕПНОГОРСК, 40, 72</v>
      </c>
      <c r="U844" t="str">
        <f>"СТЕПНОГОРСК, 40, 72"</f>
        <v>СТЕПНОГОРСК, 40, 72</v>
      </c>
      <c r="AC844" t="str">
        <f t="shared" si="44"/>
        <v>2023-08-25T00:00:00</v>
      </c>
      <c r="AD844" t="str">
        <f t="shared" si="46"/>
        <v>202</v>
      </c>
      <c r="AG844" t="s">
        <v>202</v>
      </c>
      <c r="AI844" t="s">
        <v>269</v>
      </c>
      <c r="AJ844" t="s">
        <v>1298</v>
      </c>
      <c r="AK844" t="s">
        <v>205</v>
      </c>
      <c r="AL844" t="s">
        <v>206</v>
      </c>
      <c r="AN844" t="s">
        <v>207</v>
      </c>
      <c r="AO844">
        <v>2</v>
      </c>
      <c r="AP844" t="s">
        <v>208</v>
      </c>
      <c r="AQ844" t="s">
        <v>209</v>
      </c>
      <c r="AR844" t="s">
        <v>502</v>
      </c>
      <c r="AW844" t="s">
        <v>212</v>
      </c>
      <c r="AZ844" t="s">
        <v>209</v>
      </c>
      <c r="BI844" t="s">
        <v>212</v>
      </c>
      <c r="BJ844" t="s">
        <v>213</v>
      </c>
      <c r="BK844" t="s">
        <v>214</v>
      </c>
      <c r="BL844" t="s">
        <v>215</v>
      </c>
      <c r="BN844" t="s">
        <v>661</v>
      </c>
      <c r="BO844" t="s">
        <v>209</v>
      </c>
      <c r="BS844" t="s">
        <v>220</v>
      </c>
      <c r="CA844" t="s">
        <v>287</v>
      </c>
      <c r="CC844" t="s">
        <v>209</v>
      </c>
      <c r="CE844" t="s">
        <v>242</v>
      </c>
      <c r="CJ844" t="s">
        <v>206</v>
      </c>
      <c r="CK844" t="s">
        <v>230</v>
      </c>
      <c r="CL844" t="s">
        <v>231</v>
      </c>
      <c r="CM844" t="s">
        <v>232</v>
      </c>
      <c r="CN844" t="s">
        <v>233</v>
      </c>
      <c r="CP844" t="s">
        <v>212</v>
      </c>
      <c r="CQ844" t="s">
        <v>212</v>
      </c>
      <c r="CR844" t="s">
        <v>212</v>
      </c>
      <c r="CS844" t="s">
        <v>212</v>
      </c>
      <c r="CY844" t="s">
        <v>212</v>
      </c>
      <c r="DB844" t="s">
        <v>234</v>
      </c>
      <c r="DE844" t="s">
        <v>212</v>
      </c>
      <c r="DF844" t="s">
        <v>212</v>
      </c>
      <c r="DG844" t="s">
        <v>235</v>
      </c>
      <c r="DH844" t="s">
        <v>212</v>
      </c>
      <c r="DJ844" t="s">
        <v>236</v>
      </c>
      <c r="DM844" t="s">
        <v>206</v>
      </c>
    </row>
    <row r="845" spans="1:117" x14ac:dyDescent="0.3">
      <c r="A845">
        <v>25899060</v>
      </c>
      <c r="B845">
        <v>10292308</v>
      </c>
      <c r="C845" t="str">
        <f>"170726503266"</f>
        <v>170726503266</v>
      </c>
      <c r="D845" t="s">
        <v>2077</v>
      </c>
      <c r="E845" t="s">
        <v>734</v>
      </c>
      <c r="F845" t="s">
        <v>521</v>
      </c>
      <c r="G845" s="1">
        <v>42942</v>
      </c>
      <c r="I845" t="s">
        <v>240</v>
      </c>
      <c r="J845" t="s">
        <v>200</v>
      </c>
      <c r="K845" t="s">
        <v>260</v>
      </c>
      <c r="Q845" t="s">
        <v>212</v>
      </c>
      <c r="R845" t="str">
        <f>"КАЗАХСТАН, АКМОЛИНСКАЯ, СТЕПНОГОРСК, 35, 1"</f>
        <v>КАЗАХСТАН, АКМОЛИНСКАЯ, СТЕПНОГОРСК, 35, 1</v>
      </c>
      <c r="S845" t="str">
        <f>"ҚАЗАҚСТАН, АҚМОЛА, СТЕПНОГОР, 35, 1"</f>
        <v>ҚАЗАҚСТАН, АҚМОЛА, СТЕПНОГОР, 35, 1</v>
      </c>
      <c r="T845" t="str">
        <f>"35, 1"</f>
        <v>35, 1</v>
      </c>
      <c r="U845" t="str">
        <f>"35, 1"</f>
        <v>35, 1</v>
      </c>
      <c r="AC845" t="str">
        <f t="shared" si="44"/>
        <v>2023-08-25T00:00:00</v>
      </c>
      <c r="AD845" t="str">
        <f t="shared" si="46"/>
        <v>202</v>
      </c>
      <c r="AG845" t="s">
        <v>202</v>
      </c>
      <c r="AI845" t="s">
        <v>299</v>
      </c>
      <c r="AJ845" t="s">
        <v>1298</v>
      </c>
      <c r="AK845" t="s">
        <v>205</v>
      </c>
      <c r="AL845" t="s">
        <v>206</v>
      </c>
      <c r="AN845" t="s">
        <v>207</v>
      </c>
      <c r="AO845">
        <v>2</v>
      </c>
      <c r="AP845" t="s">
        <v>208</v>
      </c>
      <c r="AQ845" t="s">
        <v>209</v>
      </c>
      <c r="AR845" t="s">
        <v>502</v>
      </c>
      <c r="AW845" t="s">
        <v>212</v>
      </c>
      <c r="AZ845" t="s">
        <v>209</v>
      </c>
      <c r="BI845" t="s">
        <v>212</v>
      </c>
      <c r="BJ845" t="s">
        <v>213</v>
      </c>
      <c r="BK845" t="s">
        <v>214</v>
      </c>
      <c r="BL845" t="s">
        <v>215</v>
      </c>
      <c r="BN845" t="s">
        <v>661</v>
      </c>
      <c r="BO845" t="s">
        <v>209</v>
      </c>
      <c r="BS845" t="s">
        <v>220</v>
      </c>
      <c r="CA845" t="s">
        <v>287</v>
      </c>
      <c r="CC845" t="s">
        <v>209</v>
      </c>
      <c r="CE845" t="s">
        <v>242</v>
      </c>
      <c r="CJ845" t="s">
        <v>206</v>
      </c>
      <c r="CK845" t="s">
        <v>230</v>
      </c>
      <c r="CL845" t="s">
        <v>231</v>
      </c>
      <c r="CM845" t="s">
        <v>232</v>
      </c>
      <c r="CN845" t="s">
        <v>233</v>
      </c>
      <c r="CP845" t="s">
        <v>212</v>
      </c>
      <c r="CQ845" t="s">
        <v>212</v>
      </c>
      <c r="CR845" t="s">
        <v>212</v>
      </c>
      <c r="CS845" t="s">
        <v>212</v>
      </c>
      <c r="CY845" t="s">
        <v>212</v>
      </c>
      <c r="DB845" t="s">
        <v>234</v>
      </c>
      <c r="DE845" t="s">
        <v>212</v>
      </c>
      <c r="DF845" t="s">
        <v>212</v>
      </c>
      <c r="DG845" t="s">
        <v>235</v>
      </c>
      <c r="DH845" t="s">
        <v>212</v>
      </c>
      <c r="DJ845" t="s">
        <v>236</v>
      </c>
      <c r="DM845" t="s">
        <v>212</v>
      </c>
    </row>
    <row r="846" spans="1:117" x14ac:dyDescent="0.3">
      <c r="A846">
        <v>25899164</v>
      </c>
      <c r="B846">
        <v>13382177</v>
      </c>
      <c r="C846" t="str">
        <f>"180418504291"</f>
        <v>180418504291</v>
      </c>
      <c r="D846" t="s">
        <v>2078</v>
      </c>
      <c r="E846" t="s">
        <v>720</v>
      </c>
      <c r="F846" t="s">
        <v>558</v>
      </c>
      <c r="G846" s="1">
        <v>43208</v>
      </c>
      <c r="I846" t="s">
        <v>240</v>
      </c>
      <c r="J846" t="s">
        <v>200</v>
      </c>
      <c r="K846" t="s">
        <v>260</v>
      </c>
      <c r="Q846" t="s">
        <v>212</v>
      </c>
      <c r="R846" t="str">
        <f>"КАЗАХСТАН, АКМОЛИНСКАЯ, СТЕПНОГОРСК, 39, 47"</f>
        <v>КАЗАХСТАН, АКМОЛИНСКАЯ, СТЕПНОГОРСК, 39, 47</v>
      </c>
      <c r="S846" t="str">
        <f>"ҚАЗАҚСТАН, АҚМОЛА, СТЕПНОГОР, 39, 47"</f>
        <v>ҚАЗАҚСТАН, АҚМОЛА, СТЕПНОГОР, 39, 47</v>
      </c>
      <c r="T846" t="str">
        <f>"39, 47"</f>
        <v>39, 47</v>
      </c>
      <c r="U846" t="str">
        <f>"39, 47"</f>
        <v>39, 47</v>
      </c>
      <c r="AC846" t="str">
        <f t="shared" si="44"/>
        <v>2023-08-25T00:00:00</v>
      </c>
      <c r="AD846" t="str">
        <f t="shared" si="46"/>
        <v>202</v>
      </c>
      <c r="AG846" t="s">
        <v>202</v>
      </c>
      <c r="AI846" t="s">
        <v>299</v>
      </c>
      <c r="AJ846" t="s">
        <v>1298</v>
      </c>
      <c r="AK846" t="s">
        <v>205</v>
      </c>
      <c r="AL846" t="s">
        <v>206</v>
      </c>
      <c r="AN846" t="s">
        <v>207</v>
      </c>
      <c r="AO846">
        <v>2</v>
      </c>
      <c r="AP846" t="s">
        <v>208</v>
      </c>
      <c r="AQ846" t="s">
        <v>209</v>
      </c>
      <c r="AR846" t="s">
        <v>502</v>
      </c>
      <c r="AW846" t="s">
        <v>212</v>
      </c>
      <c r="AZ846" t="s">
        <v>209</v>
      </c>
      <c r="BI846" t="s">
        <v>212</v>
      </c>
      <c r="BJ846" t="s">
        <v>213</v>
      </c>
      <c r="BK846" t="s">
        <v>214</v>
      </c>
      <c r="BL846" t="s">
        <v>215</v>
      </c>
      <c r="BN846" t="s">
        <v>661</v>
      </c>
      <c r="BO846" t="s">
        <v>209</v>
      </c>
      <c r="BS846" t="s">
        <v>220</v>
      </c>
      <c r="CA846" t="s">
        <v>287</v>
      </c>
      <c r="CC846" t="s">
        <v>209</v>
      </c>
      <c r="CE846" t="s">
        <v>242</v>
      </c>
      <c r="CJ846" t="s">
        <v>206</v>
      </c>
      <c r="CK846" t="s">
        <v>230</v>
      </c>
      <c r="CL846" t="s">
        <v>231</v>
      </c>
      <c r="CM846" t="s">
        <v>232</v>
      </c>
      <c r="CN846" t="s">
        <v>233</v>
      </c>
      <c r="CP846" t="s">
        <v>212</v>
      </c>
      <c r="CQ846" t="s">
        <v>212</v>
      </c>
      <c r="CR846" t="s">
        <v>212</v>
      </c>
      <c r="CS846" t="s">
        <v>212</v>
      </c>
      <c r="CY846" t="s">
        <v>212</v>
      </c>
      <c r="DB846" t="s">
        <v>234</v>
      </c>
      <c r="DE846" t="s">
        <v>212</v>
      </c>
      <c r="DF846" t="s">
        <v>212</v>
      </c>
      <c r="DG846" t="s">
        <v>235</v>
      </c>
      <c r="DH846" t="s">
        <v>212</v>
      </c>
      <c r="DI846" t="s">
        <v>1026</v>
      </c>
      <c r="DJ846" t="s">
        <v>421</v>
      </c>
      <c r="DK846" t="s">
        <v>707</v>
      </c>
      <c r="DL846" t="s">
        <v>423</v>
      </c>
      <c r="DM846" t="s">
        <v>212</v>
      </c>
    </row>
    <row r="847" spans="1:117" x14ac:dyDescent="0.3">
      <c r="A847">
        <v>25899325</v>
      </c>
      <c r="B847">
        <v>13382199</v>
      </c>
      <c r="C847" t="str">
        <f>"170302600718"</f>
        <v>170302600718</v>
      </c>
      <c r="D847" t="s">
        <v>2079</v>
      </c>
      <c r="E847" t="s">
        <v>2080</v>
      </c>
      <c r="F847" t="s">
        <v>2081</v>
      </c>
      <c r="G847" s="1">
        <v>42796</v>
      </c>
      <c r="I847" t="s">
        <v>199</v>
      </c>
      <c r="J847" t="s">
        <v>200</v>
      </c>
      <c r="K847" t="s">
        <v>201</v>
      </c>
      <c r="Q847" t="s">
        <v>212</v>
      </c>
      <c r="R847" t="str">
        <f>"КАЗАХСТАН, АСТАНА, БАЙКОНЫРСКИЙ РАЙОН, 10"</f>
        <v>КАЗАХСТАН, АСТАНА, БАЙКОНЫРСКИЙ РАЙОН, 10</v>
      </c>
      <c r="S847" t="str">
        <f>"ҚАЗАҚСТАН, АСТАНА, БАЙҚОҢЫР АУДАНЫ, 10"</f>
        <v>ҚАЗАҚСТАН, АСТАНА, БАЙҚОҢЫР АУДАНЫ, 10</v>
      </c>
      <c r="T847" t="str">
        <f>"10"</f>
        <v>10</v>
      </c>
      <c r="U847" t="str">
        <f>"10"</f>
        <v>10</v>
      </c>
      <c r="AC847" t="str">
        <f t="shared" si="44"/>
        <v>2023-08-25T00:00:00</v>
      </c>
      <c r="AD847" t="str">
        <f t="shared" si="46"/>
        <v>202</v>
      </c>
      <c r="AG847" t="s">
        <v>202</v>
      </c>
      <c r="AI847" t="s">
        <v>299</v>
      </c>
      <c r="AJ847" t="s">
        <v>1298</v>
      </c>
      <c r="AK847" t="s">
        <v>205</v>
      </c>
      <c r="AL847" t="s">
        <v>206</v>
      </c>
      <c r="AN847" t="s">
        <v>207</v>
      </c>
      <c r="AO847">
        <v>2</v>
      </c>
      <c r="AP847" t="s">
        <v>208</v>
      </c>
      <c r="AQ847" t="s">
        <v>209</v>
      </c>
      <c r="AR847" t="s">
        <v>502</v>
      </c>
      <c r="AW847" t="s">
        <v>212</v>
      </c>
      <c r="AZ847" t="s">
        <v>209</v>
      </c>
      <c r="BI847" t="s">
        <v>212</v>
      </c>
      <c r="BJ847" t="s">
        <v>213</v>
      </c>
      <c r="BK847" t="s">
        <v>214</v>
      </c>
      <c r="BL847" t="s">
        <v>215</v>
      </c>
      <c r="BN847" t="s">
        <v>661</v>
      </c>
      <c r="BO847" t="s">
        <v>209</v>
      </c>
      <c r="BS847" t="s">
        <v>220</v>
      </c>
      <c r="CA847" t="s">
        <v>287</v>
      </c>
      <c r="CC847" t="s">
        <v>209</v>
      </c>
      <c r="CE847" t="s">
        <v>242</v>
      </c>
      <c r="CJ847" t="s">
        <v>206</v>
      </c>
      <c r="CK847" t="s">
        <v>230</v>
      </c>
      <c r="CL847" t="s">
        <v>231</v>
      </c>
      <c r="CM847" t="s">
        <v>232</v>
      </c>
      <c r="CN847" t="s">
        <v>233</v>
      </c>
      <c r="CP847" t="s">
        <v>212</v>
      </c>
      <c r="CQ847" t="s">
        <v>212</v>
      </c>
      <c r="CR847" t="s">
        <v>212</v>
      </c>
      <c r="CS847" t="s">
        <v>212</v>
      </c>
      <c r="CY847" t="s">
        <v>212</v>
      </c>
      <c r="DB847" t="s">
        <v>234</v>
      </c>
      <c r="DE847" t="s">
        <v>212</v>
      </c>
      <c r="DF847" t="s">
        <v>212</v>
      </c>
      <c r="DG847" t="s">
        <v>235</v>
      </c>
      <c r="DH847" t="s">
        <v>212</v>
      </c>
      <c r="DI847" t="s">
        <v>1026</v>
      </c>
      <c r="DJ847" t="s">
        <v>421</v>
      </c>
      <c r="DK847" t="s">
        <v>707</v>
      </c>
      <c r="DL847" t="s">
        <v>423</v>
      </c>
      <c r="DM847" t="s">
        <v>212</v>
      </c>
    </row>
    <row r="848" spans="1:117" x14ac:dyDescent="0.3">
      <c r="A848">
        <v>25899740</v>
      </c>
      <c r="B848">
        <v>8845635</v>
      </c>
      <c r="C848" t="str">
        <f>"170617602132"</f>
        <v>170617602132</v>
      </c>
      <c r="D848" t="s">
        <v>2082</v>
      </c>
      <c r="E848" t="s">
        <v>2083</v>
      </c>
      <c r="F848" t="s">
        <v>400</v>
      </c>
      <c r="G848" s="1">
        <v>42903</v>
      </c>
      <c r="I848" t="s">
        <v>199</v>
      </c>
      <c r="J848" t="s">
        <v>200</v>
      </c>
      <c r="K848" t="s">
        <v>469</v>
      </c>
      <c r="Q848" t="s">
        <v>212</v>
      </c>
      <c r="R848" t="str">
        <f>"КАЗАХСТАН, АКМОЛИНСКАЯ, РАЙОН БИРЖАН САЛ, Степняк, 19"</f>
        <v>КАЗАХСТАН, АКМОЛИНСКАЯ, РАЙОН БИРЖАН САЛ, Степняк, 19</v>
      </c>
      <c r="S848" t="str">
        <f>"ҚАЗАҚСТАН, АҚМОЛА, БІРЖАН САЛ АУДАНЫ, Степняк, 19"</f>
        <v>ҚАЗАҚСТАН, АҚМОЛА, БІРЖАН САЛ АУДАНЫ, Степняк, 19</v>
      </c>
      <c r="T848" t="str">
        <f>"Степняк, 19"</f>
        <v>Степняк, 19</v>
      </c>
      <c r="U848" t="str">
        <f>"Степняк, 19"</f>
        <v>Степняк, 19</v>
      </c>
      <c r="AC848" t="str">
        <f t="shared" si="44"/>
        <v>2023-08-25T00:00:00</v>
      </c>
      <c r="AD848" t="str">
        <f t="shared" si="46"/>
        <v>202</v>
      </c>
      <c r="AG848" t="s">
        <v>202</v>
      </c>
      <c r="AI848" t="s">
        <v>299</v>
      </c>
      <c r="AJ848" t="s">
        <v>1298</v>
      </c>
      <c r="AK848" t="s">
        <v>205</v>
      </c>
      <c r="AL848" t="s">
        <v>206</v>
      </c>
      <c r="AN848" t="s">
        <v>207</v>
      </c>
      <c r="AO848">
        <v>2</v>
      </c>
      <c r="AP848" t="s">
        <v>208</v>
      </c>
      <c r="AQ848" t="s">
        <v>209</v>
      </c>
      <c r="AR848" t="s">
        <v>502</v>
      </c>
      <c r="AW848" t="s">
        <v>212</v>
      </c>
      <c r="AZ848" t="s">
        <v>209</v>
      </c>
      <c r="BI848" t="s">
        <v>212</v>
      </c>
      <c r="BJ848" t="s">
        <v>213</v>
      </c>
      <c r="BK848" t="s">
        <v>214</v>
      </c>
      <c r="BL848" t="s">
        <v>215</v>
      </c>
      <c r="BN848" t="s">
        <v>661</v>
      </c>
      <c r="BO848" t="s">
        <v>209</v>
      </c>
      <c r="BS848" t="s">
        <v>220</v>
      </c>
      <c r="BX848" t="s">
        <v>234</v>
      </c>
      <c r="BY848" t="s">
        <v>234</v>
      </c>
      <c r="CA848" t="s">
        <v>287</v>
      </c>
      <c r="CC848" t="s">
        <v>209</v>
      </c>
      <c r="CE848" t="s">
        <v>242</v>
      </c>
      <c r="CJ848" t="s">
        <v>206</v>
      </c>
      <c r="CK848" t="s">
        <v>230</v>
      </c>
      <c r="CL848" t="s">
        <v>231</v>
      </c>
      <c r="CM848" t="s">
        <v>232</v>
      </c>
      <c r="CN848" t="s">
        <v>233</v>
      </c>
      <c r="CP848" t="s">
        <v>212</v>
      </c>
      <c r="CQ848" t="s">
        <v>212</v>
      </c>
      <c r="CR848" t="s">
        <v>212</v>
      </c>
      <c r="CS848" t="s">
        <v>212</v>
      </c>
      <c r="CY848" t="s">
        <v>212</v>
      </c>
      <c r="DB848" t="s">
        <v>234</v>
      </c>
      <c r="DE848" t="s">
        <v>212</v>
      </c>
      <c r="DF848" t="s">
        <v>212</v>
      </c>
      <c r="DG848" t="s">
        <v>235</v>
      </c>
      <c r="DH848" t="s">
        <v>212</v>
      </c>
      <c r="DJ848" t="s">
        <v>236</v>
      </c>
      <c r="DM848" t="s">
        <v>206</v>
      </c>
    </row>
    <row r="849" spans="1:117" x14ac:dyDescent="0.3">
      <c r="A849">
        <v>25899842</v>
      </c>
      <c r="B849">
        <v>8778343</v>
      </c>
      <c r="C849" t="str">
        <f>"180209600794"</f>
        <v>180209600794</v>
      </c>
      <c r="D849" t="s">
        <v>2084</v>
      </c>
      <c r="E849" t="s">
        <v>2085</v>
      </c>
      <c r="F849" t="s">
        <v>2086</v>
      </c>
      <c r="G849" s="1">
        <v>43140</v>
      </c>
      <c r="I849" t="s">
        <v>199</v>
      </c>
      <c r="J849" t="s">
        <v>200</v>
      </c>
      <c r="K849" t="s">
        <v>201</v>
      </c>
      <c r="Q849" t="s">
        <v>212</v>
      </c>
      <c r="R849" t="str">
        <f>"КАЗАХСТАН, АКМОЛИНСКАЯ, СТЕПНОГОРСК, 41, 33"</f>
        <v>КАЗАХСТАН, АКМОЛИНСКАЯ, СТЕПНОГОРСК, 41, 33</v>
      </c>
      <c r="S849" t="str">
        <f>"ҚАЗАҚСТАН, АҚМОЛА, СТЕПНОГОР, 41, 33"</f>
        <v>ҚАЗАҚСТАН, АҚМОЛА, СТЕПНОГОР, 41, 33</v>
      </c>
      <c r="T849" t="str">
        <f>"41, 33"</f>
        <v>41, 33</v>
      </c>
      <c r="U849" t="str">
        <f>"41, 33"</f>
        <v>41, 33</v>
      </c>
      <c r="AC849" t="str">
        <f t="shared" si="44"/>
        <v>2023-08-25T00:00:00</v>
      </c>
      <c r="AD849" t="str">
        <f t="shared" si="46"/>
        <v>202</v>
      </c>
      <c r="AG849" t="s">
        <v>202</v>
      </c>
      <c r="AI849" t="s">
        <v>299</v>
      </c>
      <c r="AJ849" t="s">
        <v>1298</v>
      </c>
      <c r="AK849" t="s">
        <v>205</v>
      </c>
      <c r="AL849" t="s">
        <v>206</v>
      </c>
      <c r="AN849" t="s">
        <v>207</v>
      </c>
      <c r="AO849">
        <v>2</v>
      </c>
      <c r="AP849" t="s">
        <v>208</v>
      </c>
      <c r="AQ849" t="s">
        <v>209</v>
      </c>
      <c r="AR849" t="s">
        <v>502</v>
      </c>
      <c r="AW849" t="s">
        <v>212</v>
      </c>
      <c r="AZ849" t="s">
        <v>209</v>
      </c>
      <c r="BI849" t="s">
        <v>212</v>
      </c>
      <c r="BJ849" t="s">
        <v>213</v>
      </c>
      <c r="BK849" t="s">
        <v>214</v>
      </c>
      <c r="BL849" t="s">
        <v>215</v>
      </c>
      <c r="BN849" t="s">
        <v>661</v>
      </c>
      <c r="BO849" t="s">
        <v>209</v>
      </c>
      <c r="BS849" t="s">
        <v>220</v>
      </c>
      <c r="CA849" t="s">
        <v>287</v>
      </c>
      <c r="CC849" t="s">
        <v>209</v>
      </c>
      <c r="CE849" t="s">
        <v>242</v>
      </c>
      <c r="CJ849" t="s">
        <v>206</v>
      </c>
      <c r="CK849" t="s">
        <v>230</v>
      </c>
      <c r="CL849" t="s">
        <v>231</v>
      </c>
      <c r="CM849" t="s">
        <v>232</v>
      </c>
      <c r="CN849" t="s">
        <v>233</v>
      </c>
      <c r="CP849" t="s">
        <v>212</v>
      </c>
      <c r="CQ849" t="s">
        <v>212</v>
      </c>
      <c r="CR849" t="s">
        <v>212</v>
      </c>
      <c r="CS849" t="s">
        <v>212</v>
      </c>
      <c r="CY849" t="s">
        <v>212</v>
      </c>
      <c r="DB849" t="s">
        <v>234</v>
      </c>
      <c r="DE849" t="s">
        <v>212</v>
      </c>
      <c r="DF849" t="s">
        <v>212</v>
      </c>
      <c r="DG849" t="s">
        <v>235</v>
      </c>
      <c r="DH849" t="s">
        <v>212</v>
      </c>
      <c r="DJ849" t="s">
        <v>236</v>
      </c>
      <c r="DM849" t="s">
        <v>212</v>
      </c>
    </row>
    <row r="850" spans="1:117" x14ac:dyDescent="0.3">
      <c r="A850">
        <v>25900107</v>
      </c>
      <c r="B850">
        <v>13382297</v>
      </c>
      <c r="C850" t="str">
        <f>"180708505246"</f>
        <v>180708505246</v>
      </c>
      <c r="D850" t="s">
        <v>841</v>
      </c>
      <c r="E850" t="s">
        <v>1328</v>
      </c>
      <c r="F850" t="s">
        <v>942</v>
      </c>
      <c r="G850" s="1">
        <v>43289</v>
      </c>
      <c r="I850" t="s">
        <v>240</v>
      </c>
      <c r="J850" t="s">
        <v>200</v>
      </c>
      <c r="K850" t="s">
        <v>260</v>
      </c>
      <c r="Q850" t="s">
        <v>212</v>
      </c>
      <c r="R850" t="str">
        <f>"КАЗАХСТАН, АКМОЛИНСКАЯ, СТЕПНОГОРСК, 3"</f>
        <v>КАЗАХСТАН, АКМОЛИНСКАЯ, СТЕПНОГОРСК, 3</v>
      </c>
      <c r="S850" t="str">
        <f>"ҚАЗАҚСТАН, АҚМОЛА, СТЕПНОГОР, 3"</f>
        <v>ҚАЗАҚСТАН, АҚМОЛА, СТЕПНОГОР, 3</v>
      </c>
      <c r="T850" t="str">
        <f>"3"</f>
        <v>3</v>
      </c>
      <c r="U850" t="str">
        <f>"3"</f>
        <v>3</v>
      </c>
      <c r="AC850" t="str">
        <f t="shared" si="44"/>
        <v>2023-08-25T00:00:00</v>
      </c>
      <c r="AD850" t="str">
        <f t="shared" si="46"/>
        <v>202</v>
      </c>
      <c r="AG850" t="s">
        <v>202</v>
      </c>
      <c r="AI850" t="s">
        <v>299</v>
      </c>
      <c r="AJ850" t="s">
        <v>1298</v>
      </c>
      <c r="AK850" t="s">
        <v>205</v>
      </c>
      <c r="AL850" t="s">
        <v>206</v>
      </c>
      <c r="AN850" t="s">
        <v>207</v>
      </c>
      <c r="AO850">
        <v>2</v>
      </c>
      <c r="AP850" t="s">
        <v>208</v>
      </c>
      <c r="AQ850" t="s">
        <v>209</v>
      </c>
      <c r="AR850" t="s">
        <v>502</v>
      </c>
      <c r="AW850" t="s">
        <v>212</v>
      </c>
      <c r="AZ850" t="s">
        <v>209</v>
      </c>
      <c r="BI850" t="s">
        <v>212</v>
      </c>
      <c r="BJ850" t="s">
        <v>213</v>
      </c>
      <c r="BK850" t="s">
        <v>214</v>
      </c>
      <c r="BL850" t="s">
        <v>215</v>
      </c>
      <c r="BN850" t="s">
        <v>661</v>
      </c>
      <c r="BO850" t="s">
        <v>209</v>
      </c>
      <c r="BS850" t="s">
        <v>220</v>
      </c>
      <c r="CA850" t="s">
        <v>287</v>
      </c>
      <c r="CC850" t="s">
        <v>209</v>
      </c>
      <c r="CE850" t="s">
        <v>242</v>
      </c>
      <c r="CJ850" t="s">
        <v>206</v>
      </c>
      <c r="CK850" t="s">
        <v>230</v>
      </c>
      <c r="CL850" t="s">
        <v>231</v>
      </c>
      <c r="CM850" t="s">
        <v>232</v>
      </c>
      <c r="CN850" t="s">
        <v>233</v>
      </c>
      <c r="CP850" t="s">
        <v>212</v>
      </c>
      <c r="CQ850" t="s">
        <v>212</v>
      </c>
      <c r="CR850" t="s">
        <v>212</v>
      </c>
      <c r="CS850" t="s">
        <v>212</v>
      </c>
      <c r="CY850" t="s">
        <v>212</v>
      </c>
      <c r="DB850" t="s">
        <v>234</v>
      </c>
      <c r="DE850" t="s">
        <v>212</v>
      </c>
      <c r="DF850" t="s">
        <v>212</v>
      </c>
      <c r="DG850" t="s">
        <v>235</v>
      </c>
      <c r="DH850" t="s">
        <v>212</v>
      </c>
      <c r="DI850" t="s">
        <v>1026</v>
      </c>
      <c r="DJ850" t="s">
        <v>421</v>
      </c>
      <c r="DK850" t="s">
        <v>707</v>
      </c>
      <c r="DL850" t="s">
        <v>423</v>
      </c>
      <c r="DM850" t="s">
        <v>212</v>
      </c>
    </row>
    <row r="851" spans="1:117" x14ac:dyDescent="0.3">
      <c r="A851">
        <v>25900696</v>
      </c>
      <c r="B851">
        <v>12482665</v>
      </c>
      <c r="C851" t="str">
        <f>"170707600551"</f>
        <v>170707600551</v>
      </c>
      <c r="D851" t="s">
        <v>1056</v>
      </c>
      <c r="E851" t="s">
        <v>1392</v>
      </c>
      <c r="F851" t="s">
        <v>2087</v>
      </c>
      <c r="G851" s="1">
        <v>42923</v>
      </c>
      <c r="I851" t="s">
        <v>199</v>
      </c>
      <c r="J851" t="s">
        <v>200</v>
      </c>
      <c r="K851" t="s">
        <v>201</v>
      </c>
      <c r="Q851" t="s">
        <v>212</v>
      </c>
      <c r="R851" t="str">
        <f>"КАЗАХСТАН, АКМОЛИНСКАЯ, СТЕПНОГОРСК, 40, 51"</f>
        <v>КАЗАХСТАН, АКМОЛИНСКАЯ, СТЕПНОГОРСК, 40, 51</v>
      </c>
      <c r="S851" t="str">
        <f>"ҚАЗАҚСТАН, АҚМОЛА, СТЕПНОГОР, 40, 51"</f>
        <v>ҚАЗАҚСТАН, АҚМОЛА, СТЕПНОГОР, 40, 51</v>
      </c>
      <c r="T851" t="str">
        <f>"40, 51"</f>
        <v>40, 51</v>
      </c>
      <c r="U851" t="str">
        <f>"40, 51"</f>
        <v>40, 51</v>
      </c>
      <c r="AC851" t="str">
        <f t="shared" si="44"/>
        <v>2023-08-25T00:00:00</v>
      </c>
      <c r="AD851" t="str">
        <f t="shared" si="46"/>
        <v>202</v>
      </c>
      <c r="AG851" t="s">
        <v>202</v>
      </c>
      <c r="AI851" t="s">
        <v>299</v>
      </c>
      <c r="AJ851" t="s">
        <v>1298</v>
      </c>
      <c r="AK851" t="s">
        <v>205</v>
      </c>
      <c r="AL851" t="s">
        <v>206</v>
      </c>
      <c r="AN851" t="s">
        <v>207</v>
      </c>
      <c r="AO851">
        <v>2</v>
      </c>
      <c r="AP851" t="s">
        <v>208</v>
      </c>
      <c r="AQ851" t="s">
        <v>209</v>
      </c>
      <c r="AR851" t="s">
        <v>502</v>
      </c>
      <c r="AW851" t="s">
        <v>212</v>
      </c>
      <c r="AZ851" t="s">
        <v>209</v>
      </c>
      <c r="BI851" t="s">
        <v>212</v>
      </c>
      <c r="BJ851" t="s">
        <v>213</v>
      </c>
      <c r="BK851" t="s">
        <v>214</v>
      </c>
      <c r="BL851" t="s">
        <v>215</v>
      </c>
      <c r="BN851" t="s">
        <v>661</v>
      </c>
      <c r="BO851" t="s">
        <v>209</v>
      </c>
      <c r="BS851" t="s">
        <v>220</v>
      </c>
      <c r="CA851" t="s">
        <v>287</v>
      </c>
      <c r="CC851" t="s">
        <v>209</v>
      </c>
      <c r="CE851" t="s">
        <v>242</v>
      </c>
      <c r="CJ851" t="s">
        <v>206</v>
      </c>
      <c r="CK851" t="s">
        <v>230</v>
      </c>
      <c r="CL851" t="s">
        <v>231</v>
      </c>
      <c r="CM851" t="s">
        <v>232</v>
      </c>
      <c r="CN851" t="s">
        <v>233</v>
      </c>
      <c r="CP851" t="s">
        <v>212</v>
      </c>
      <c r="CQ851" t="s">
        <v>212</v>
      </c>
      <c r="CR851" t="s">
        <v>212</v>
      </c>
      <c r="CS851" t="s">
        <v>212</v>
      </c>
      <c r="CY851" t="s">
        <v>212</v>
      </c>
      <c r="DB851" t="s">
        <v>234</v>
      </c>
      <c r="DE851" t="s">
        <v>212</v>
      </c>
      <c r="DF851" t="s">
        <v>212</v>
      </c>
      <c r="DG851" t="s">
        <v>235</v>
      </c>
      <c r="DH851" t="s">
        <v>212</v>
      </c>
      <c r="DJ851" t="s">
        <v>236</v>
      </c>
      <c r="DM851" t="s">
        <v>212</v>
      </c>
    </row>
    <row r="852" spans="1:117" x14ac:dyDescent="0.3">
      <c r="A852">
        <v>25900872</v>
      </c>
      <c r="B852">
        <v>12109169</v>
      </c>
      <c r="C852" t="str">
        <f>"170824600558"</f>
        <v>170824600558</v>
      </c>
      <c r="D852" t="s">
        <v>2088</v>
      </c>
      <c r="E852" t="s">
        <v>516</v>
      </c>
      <c r="F852" t="s">
        <v>2089</v>
      </c>
      <c r="G852" s="1">
        <v>42971</v>
      </c>
      <c r="I852" t="s">
        <v>199</v>
      </c>
      <c r="J852" t="s">
        <v>200</v>
      </c>
      <c r="K852" t="s">
        <v>306</v>
      </c>
      <c r="Q852" t="s">
        <v>212</v>
      </c>
      <c r="R852" t="str">
        <f>"КАЗАХСТАН, АКМОЛИНСКАЯ, СТЕПНОГОРСК, 85, 51"</f>
        <v>КАЗАХСТАН, АКМОЛИНСКАЯ, СТЕПНОГОРСК, 85, 51</v>
      </c>
      <c r="S852" t="str">
        <f>"ҚАЗАҚСТАН, АҚМОЛА, СТЕПНОГОР, 85, 51"</f>
        <v>ҚАЗАҚСТАН, АҚМОЛА, СТЕПНОГОР, 85, 51</v>
      </c>
      <c r="T852" t="str">
        <f>"85, 51"</f>
        <v>85, 51</v>
      </c>
      <c r="U852" t="str">
        <f>"85, 51"</f>
        <v>85, 51</v>
      </c>
      <c r="AC852" t="str">
        <f t="shared" si="44"/>
        <v>2023-08-25T00:00:00</v>
      </c>
      <c r="AD852" t="str">
        <f t="shared" si="46"/>
        <v>202</v>
      </c>
      <c r="AG852" t="s">
        <v>202</v>
      </c>
      <c r="AI852" t="s">
        <v>274</v>
      </c>
      <c r="AJ852" t="s">
        <v>1298</v>
      </c>
      <c r="AK852" t="s">
        <v>205</v>
      </c>
      <c r="AL852" t="s">
        <v>206</v>
      </c>
      <c r="AN852" t="s">
        <v>207</v>
      </c>
      <c r="AO852">
        <v>2</v>
      </c>
      <c r="AP852" t="s">
        <v>208</v>
      </c>
      <c r="AQ852" t="s">
        <v>209</v>
      </c>
      <c r="AR852" t="s">
        <v>502</v>
      </c>
      <c r="AW852" t="s">
        <v>212</v>
      </c>
      <c r="AZ852" t="s">
        <v>209</v>
      </c>
      <c r="BI852" t="s">
        <v>212</v>
      </c>
      <c r="BJ852" t="s">
        <v>213</v>
      </c>
      <c r="BK852" t="s">
        <v>214</v>
      </c>
      <c r="BL852" t="s">
        <v>215</v>
      </c>
      <c r="BN852" t="s">
        <v>661</v>
      </c>
      <c r="BO852" t="s">
        <v>209</v>
      </c>
      <c r="BS852" t="s">
        <v>220</v>
      </c>
      <c r="BX852" t="s">
        <v>234</v>
      </c>
      <c r="BY852" t="s">
        <v>234</v>
      </c>
      <c r="CA852" t="s">
        <v>287</v>
      </c>
      <c r="CC852" t="s">
        <v>209</v>
      </c>
      <c r="CE852" t="s">
        <v>242</v>
      </c>
      <c r="CJ852" t="s">
        <v>206</v>
      </c>
      <c r="CK852" t="s">
        <v>230</v>
      </c>
      <c r="CL852" t="s">
        <v>231</v>
      </c>
      <c r="CM852" t="s">
        <v>232</v>
      </c>
      <c r="CN852" t="s">
        <v>233</v>
      </c>
      <c r="CP852" t="s">
        <v>212</v>
      </c>
      <c r="CQ852" t="s">
        <v>212</v>
      </c>
      <c r="CR852" t="s">
        <v>212</v>
      </c>
      <c r="CS852" t="s">
        <v>212</v>
      </c>
      <c r="CY852" t="s">
        <v>212</v>
      </c>
      <c r="DB852" t="s">
        <v>234</v>
      </c>
      <c r="DE852" t="s">
        <v>212</v>
      </c>
      <c r="DF852" t="s">
        <v>212</v>
      </c>
      <c r="DG852" t="s">
        <v>235</v>
      </c>
      <c r="DH852" t="s">
        <v>212</v>
      </c>
      <c r="DJ852" t="s">
        <v>236</v>
      </c>
      <c r="DM852" t="s">
        <v>212</v>
      </c>
    </row>
    <row r="853" spans="1:117" x14ac:dyDescent="0.3">
      <c r="A853">
        <v>25901054</v>
      </c>
      <c r="B853">
        <v>13382438</v>
      </c>
      <c r="C853" t="str">
        <f>"180701500524"</f>
        <v>180701500524</v>
      </c>
      <c r="D853" t="s">
        <v>546</v>
      </c>
      <c r="E853" t="s">
        <v>2090</v>
      </c>
      <c r="F853" t="s">
        <v>239</v>
      </c>
      <c r="G853" s="1">
        <v>43282</v>
      </c>
      <c r="I853" t="s">
        <v>240</v>
      </c>
      <c r="J853" t="s">
        <v>200</v>
      </c>
      <c r="K853" t="s">
        <v>201</v>
      </c>
      <c r="Q853" t="s">
        <v>212</v>
      </c>
      <c r="R853" t="str">
        <f>"КАЗАХСТАН, АКМОЛИНСКАЯ, СТЕПНОГОРСК, 33, 49"</f>
        <v>КАЗАХСТАН, АКМОЛИНСКАЯ, СТЕПНОГОРСК, 33, 49</v>
      </c>
      <c r="S853" t="str">
        <f>"ҚАЗАҚСТАН, АҚМОЛА, СТЕПНОГОР, 33, 49"</f>
        <v>ҚАЗАҚСТАН, АҚМОЛА, СТЕПНОГОР, 33, 49</v>
      </c>
      <c r="T853" t="str">
        <f>"33, 49"</f>
        <v>33, 49</v>
      </c>
      <c r="U853" t="str">
        <f>"33, 49"</f>
        <v>33, 49</v>
      </c>
      <c r="AC853" t="str">
        <f t="shared" si="44"/>
        <v>2023-08-25T00:00:00</v>
      </c>
      <c r="AD853" t="str">
        <f t="shared" si="46"/>
        <v>202</v>
      </c>
      <c r="AG853" t="s">
        <v>202</v>
      </c>
      <c r="AI853" t="s">
        <v>299</v>
      </c>
      <c r="AJ853" t="s">
        <v>1298</v>
      </c>
      <c r="AK853" t="s">
        <v>205</v>
      </c>
      <c r="AL853" t="s">
        <v>206</v>
      </c>
      <c r="AN853" t="s">
        <v>207</v>
      </c>
      <c r="AO853">
        <v>2</v>
      </c>
      <c r="AP853" t="s">
        <v>208</v>
      </c>
      <c r="AQ853" t="s">
        <v>209</v>
      </c>
      <c r="AR853" t="s">
        <v>502</v>
      </c>
      <c r="AW853" t="s">
        <v>212</v>
      </c>
      <c r="AZ853" t="s">
        <v>209</v>
      </c>
      <c r="BI853" t="s">
        <v>212</v>
      </c>
      <c r="BJ853" t="s">
        <v>213</v>
      </c>
      <c r="BK853" t="s">
        <v>214</v>
      </c>
      <c r="BL853" t="s">
        <v>215</v>
      </c>
      <c r="BN853" t="s">
        <v>661</v>
      </c>
      <c r="BO853" t="s">
        <v>209</v>
      </c>
      <c r="BS853" t="s">
        <v>220</v>
      </c>
      <c r="CA853" t="s">
        <v>287</v>
      </c>
      <c r="CC853" t="s">
        <v>209</v>
      </c>
      <c r="CE853" t="s">
        <v>242</v>
      </c>
      <c r="CJ853" t="s">
        <v>206</v>
      </c>
      <c r="CK853" t="s">
        <v>230</v>
      </c>
      <c r="CL853" t="s">
        <v>231</v>
      </c>
      <c r="CM853" t="s">
        <v>232</v>
      </c>
      <c r="CN853" t="s">
        <v>233</v>
      </c>
      <c r="CP853" t="s">
        <v>212</v>
      </c>
      <c r="CQ853" t="s">
        <v>212</v>
      </c>
      <c r="CR853" t="s">
        <v>212</v>
      </c>
      <c r="CS853" t="s">
        <v>212</v>
      </c>
      <c r="CY853" t="s">
        <v>212</v>
      </c>
      <c r="DB853" t="s">
        <v>234</v>
      </c>
      <c r="DE853" t="s">
        <v>212</v>
      </c>
      <c r="DF853" t="s">
        <v>212</v>
      </c>
      <c r="DG853" t="s">
        <v>235</v>
      </c>
      <c r="DH853" t="s">
        <v>212</v>
      </c>
      <c r="DJ853" t="s">
        <v>421</v>
      </c>
      <c r="DK853" t="s">
        <v>707</v>
      </c>
      <c r="DL853" t="s">
        <v>423</v>
      </c>
      <c r="DM853" t="s">
        <v>206</v>
      </c>
    </row>
    <row r="854" spans="1:117" x14ac:dyDescent="0.3">
      <c r="A854">
        <v>25901476</v>
      </c>
      <c r="B854">
        <v>12411189</v>
      </c>
      <c r="C854" t="str">
        <f>"180220603648"</f>
        <v>180220603648</v>
      </c>
      <c r="D854" t="s">
        <v>2091</v>
      </c>
      <c r="E854" t="s">
        <v>347</v>
      </c>
      <c r="F854" t="s">
        <v>305</v>
      </c>
      <c r="G854" s="1">
        <v>43151</v>
      </c>
      <c r="I854" t="s">
        <v>199</v>
      </c>
      <c r="J854" t="s">
        <v>200</v>
      </c>
      <c r="K854" t="s">
        <v>260</v>
      </c>
      <c r="Q854" t="s">
        <v>212</v>
      </c>
      <c r="R854" t="str">
        <f>"КАЗАХСТАН, АКМОЛИНСКАЯ, СТЕПНОГОРСК, 74, 68"</f>
        <v>КАЗАХСТАН, АКМОЛИНСКАЯ, СТЕПНОГОРСК, 74, 68</v>
      </c>
      <c r="S854" t="str">
        <f>"ҚАЗАҚСТАН, АҚМОЛА, СТЕПНОГОР, 74, 68"</f>
        <v>ҚАЗАҚСТАН, АҚМОЛА, СТЕПНОГОР, 74, 68</v>
      </c>
      <c r="T854" t="str">
        <f>"74, 68"</f>
        <v>74, 68</v>
      </c>
      <c r="U854" t="str">
        <f>"74, 68"</f>
        <v>74, 68</v>
      </c>
      <c r="AC854" t="str">
        <f t="shared" si="44"/>
        <v>2023-08-25T00:00:00</v>
      </c>
      <c r="AD854" t="str">
        <f t="shared" si="46"/>
        <v>202</v>
      </c>
      <c r="AG854" t="s">
        <v>202</v>
      </c>
      <c r="AI854" t="s">
        <v>299</v>
      </c>
      <c r="AJ854" t="s">
        <v>1298</v>
      </c>
      <c r="AK854" t="s">
        <v>205</v>
      </c>
      <c r="AL854" t="s">
        <v>206</v>
      </c>
      <c r="AN854" t="s">
        <v>207</v>
      </c>
      <c r="AO854">
        <v>2</v>
      </c>
      <c r="AP854" t="s">
        <v>208</v>
      </c>
      <c r="AQ854" t="s">
        <v>209</v>
      </c>
      <c r="AR854" t="s">
        <v>502</v>
      </c>
      <c r="AW854" t="s">
        <v>212</v>
      </c>
      <c r="AZ854" t="s">
        <v>209</v>
      </c>
      <c r="BI854" t="s">
        <v>212</v>
      </c>
      <c r="BJ854" t="s">
        <v>213</v>
      </c>
      <c r="BK854" t="s">
        <v>214</v>
      </c>
      <c r="BL854" t="s">
        <v>215</v>
      </c>
      <c r="BN854" t="s">
        <v>661</v>
      </c>
      <c r="BO854" t="s">
        <v>209</v>
      </c>
      <c r="BS854" t="s">
        <v>220</v>
      </c>
      <c r="CA854" t="s">
        <v>287</v>
      </c>
      <c r="CC854" t="s">
        <v>209</v>
      </c>
      <c r="CE854" t="s">
        <v>242</v>
      </c>
      <c r="CJ854" t="s">
        <v>206</v>
      </c>
      <c r="CK854" t="s">
        <v>230</v>
      </c>
      <c r="CL854" t="s">
        <v>231</v>
      </c>
      <c r="CM854" t="s">
        <v>232</v>
      </c>
      <c r="CN854" t="s">
        <v>233</v>
      </c>
      <c r="CP854" t="s">
        <v>212</v>
      </c>
      <c r="CQ854" t="s">
        <v>212</v>
      </c>
      <c r="CR854" t="s">
        <v>212</v>
      </c>
      <c r="CS854" t="s">
        <v>212</v>
      </c>
      <c r="CY854" t="s">
        <v>212</v>
      </c>
      <c r="DB854" t="s">
        <v>234</v>
      </c>
      <c r="DE854" t="s">
        <v>212</v>
      </c>
      <c r="DF854" t="s">
        <v>212</v>
      </c>
      <c r="DG854" t="s">
        <v>235</v>
      </c>
      <c r="DH854" t="s">
        <v>212</v>
      </c>
      <c r="DJ854" t="s">
        <v>236</v>
      </c>
      <c r="DM854" t="s">
        <v>212</v>
      </c>
    </row>
    <row r="855" spans="1:117" x14ac:dyDescent="0.3">
      <c r="A855">
        <v>25910553</v>
      </c>
      <c r="B855">
        <v>9686286</v>
      </c>
      <c r="C855" t="str">
        <f>"170721501272"</f>
        <v>170721501272</v>
      </c>
      <c r="D855" t="s">
        <v>2092</v>
      </c>
      <c r="E855" t="s">
        <v>538</v>
      </c>
      <c r="F855" t="s">
        <v>2093</v>
      </c>
      <c r="G855" s="1">
        <v>42937</v>
      </c>
      <c r="I855" t="s">
        <v>240</v>
      </c>
      <c r="J855" t="s">
        <v>200</v>
      </c>
      <c r="K855" t="s">
        <v>260</v>
      </c>
      <c r="Q855" t="s">
        <v>212</v>
      </c>
      <c r="R855" t="str">
        <f>"КАЗАХСТАН, АКМОЛИНСКАЯ, СТЕПНОГОРСК, 24, 73"</f>
        <v>КАЗАХСТАН, АКМОЛИНСКАЯ, СТЕПНОГОРСК, 24, 73</v>
      </c>
      <c r="S855" t="str">
        <f>"ҚАЗАҚСТАН, АҚМОЛА, СТЕПНОГОР, 24, 73"</f>
        <v>ҚАЗАҚСТАН, АҚМОЛА, СТЕПНОГОР, 24, 73</v>
      </c>
      <c r="T855" t="str">
        <f>"24, 73"</f>
        <v>24, 73</v>
      </c>
      <c r="U855" t="str">
        <f>"24, 73"</f>
        <v>24, 73</v>
      </c>
      <c r="AC855" t="str">
        <f t="shared" si="44"/>
        <v>2023-08-25T00:00:00</v>
      </c>
      <c r="AD855" t="str">
        <f t="shared" ref="AD855:AD861" si="47">"201"</f>
        <v>201</v>
      </c>
      <c r="AG855" t="s">
        <v>202</v>
      </c>
      <c r="AI855" t="s">
        <v>274</v>
      </c>
      <c r="AJ855" t="s">
        <v>660</v>
      </c>
      <c r="AK855" t="s">
        <v>205</v>
      </c>
      <c r="AL855" t="s">
        <v>206</v>
      </c>
      <c r="AN855" t="s">
        <v>207</v>
      </c>
      <c r="AO855">
        <v>1</v>
      </c>
      <c r="AP855" t="s">
        <v>208</v>
      </c>
      <c r="AQ855" t="s">
        <v>209</v>
      </c>
      <c r="AR855" t="s">
        <v>502</v>
      </c>
      <c r="AW855" t="s">
        <v>212</v>
      </c>
      <c r="AZ855" t="s">
        <v>209</v>
      </c>
      <c r="BI855" t="s">
        <v>212</v>
      </c>
      <c r="BJ855" t="s">
        <v>213</v>
      </c>
      <c r="BK855" t="s">
        <v>214</v>
      </c>
      <c r="BL855" t="s">
        <v>357</v>
      </c>
      <c r="BN855" t="s">
        <v>661</v>
      </c>
      <c r="BO855" t="s">
        <v>209</v>
      </c>
      <c r="BS855" t="s">
        <v>220</v>
      </c>
      <c r="BU855" t="s">
        <v>212</v>
      </c>
      <c r="BZ855" t="s">
        <v>662</v>
      </c>
      <c r="CA855" t="s">
        <v>287</v>
      </c>
      <c r="CC855" t="s">
        <v>209</v>
      </c>
      <c r="CE855" t="s">
        <v>242</v>
      </c>
      <c r="CJ855" t="s">
        <v>206</v>
      </c>
      <c r="CK855" t="s">
        <v>230</v>
      </c>
      <c r="CL855" t="s">
        <v>231</v>
      </c>
      <c r="CM855" t="s">
        <v>232</v>
      </c>
      <c r="CN855" t="s">
        <v>233</v>
      </c>
      <c r="CP855" t="s">
        <v>212</v>
      </c>
      <c r="CQ855" t="s">
        <v>212</v>
      </c>
      <c r="CR855" t="s">
        <v>212</v>
      </c>
      <c r="CS855" t="s">
        <v>212</v>
      </c>
      <c r="CY855" t="s">
        <v>212</v>
      </c>
      <c r="DB855" t="s">
        <v>234</v>
      </c>
      <c r="DE855" t="s">
        <v>212</v>
      </c>
      <c r="DF855" t="s">
        <v>212</v>
      </c>
      <c r="DG855" t="s">
        <v>235</v>
      </c>
      <c r="DH855" t="s">
        <v>212</v>
      </c>
      <c r="DJ855" t="s">
        <v>236</v>
      </c>
      <c r="DM855" t="s">
        <v>212</v>
      </c>
    </row>
    <row r="856" spans="1:117" x14ac:dyDescent="0.3">
      <c r="A856">
        <v>25911331</v>
      </c>
      <c r="B856">
        <v>9685804</v>
      </c>
      <c r="C856" t="str">
        <f>"160905501390"</f>
        <v>160905501390</v>
      </c>
      <c r="D856" t="s">
        <v>1911</v>
      </c>
      <c r="E856" t="s">
        <v>988</v>
      </c>
      <c r="F856" t="s">
        <v>634</v>
      </c>
      <c r="G856" s="1">
        <v>42618</v>
      </c>
      <c r="I856" t="s">
        <v>240</v>
      </c>
      <c r="J856" t="s">
        <v>200</v>
      </c>
      <c r="K856" t="s">
        <v>201</v>
      </c>
      <c r="Q856" t="s">
        <v>212</v>
      </c>
      <c r="R856" t="str">
        <f>"КАЗАХСТАН, АКМОЛИНСКАЯ, СТЕПНОГОРСК, -, 21, 84"</f>
        <v>КАЗАХСТАН, АКМОЛИНСКАЯ, СТЕПНОГОРСК, -, 21, 84</v>
      </c>
      <c r="S856" t="str">
        <f>"ҚАЗАҚСТАН, АҚМОЛА, СТЕПНОГОР, -, 21, 84"</f>
        <v>ҚАЗАҚСТАН, АҚМОЛА, СТЕПНОГОР, -, 21, 84</v>
      </c>
      <c r="T856" t="str">
        <f>"-, 21, 84"</f>
        <v>-, 21, 84</v>
      </c>
      <c r="U856" t="str">
        <f>"-, 21, 84"</f>
        <v>-, 21, 84</v>
      </c>
      <c r="AC856" t="str">
        <f t="shared" si="44"/>
        <v>2023-08-25T00:00:00</v>
      </c>
      <c r="AD856" t="str">
        <f t="shared" si="47"/>
        <v>201</v>
      </c>
      <c r="AE856" t="str">
        <f>"2023-09-01T17:38:02"</f>
        <v>2023-09-01T17:38:02</v>
      </c>
      <c r="AF856" t="str">
        <f>"2024-05-25T17:38:02"</f>
        <v>2024-05-25T17:38:02</v>
      </c>
      <c r="AG856" t="s">
        <v>202</v>
      </c>
      <c r="AI856" t="s">
        <v>299</v>
      </c>
      <c r="AJ856" t="s">
        <v>660</v>
      </c>
      <c r="AK856" t="s">
        <v>205</v>
      </c>
      <c r="AL856" t="s">
        <v>206</v>
      </c>
      <c r="AN856" t="s">
        <v>207</v>
      </c>
      <c r="AO856">
        <v>1</v>
      </c>
      <c r="AP856" t="s">
        <v>208</v>
      </c>
      <c r="AQ856" t="s">
        <v>209</v>
      </c>
      <c r="AR856" t="s">
        <v>502</v>
      </c>
      <c r="AW856" t="s">
        <v>212</v>
      </c>
      <c r="AZ856" t="s">
        <v>209</v>
      </c>
      <c r="BI856" t="s">
        <v>212</v>
      </c>
      <c r="BJ856" t="s">
        <v>213</v>
      </c>
      <c r="BK856" t="s">
        <v>214</v>
      </c>
      <c r="BL856" t="s">
        <v>357</v>
      </c>
      <c r="BN856" t="s">
        <v>661</v>
      </c>
      <c r="BO856" t="s">
        <v>209</v>
      </c>
      <c r="BS856" t="s">
        <v>220</v>
      </c>
      <c r="BU856" t="s">
        <v>212</v>
      </c>
      <c r="BZ856" t="s">
        <v>662</v>
      </c>
      <c r="CA856" t="s">
        <v>287</v>
      </c>
      <c r="CC856" t="s">
        <v>404</v>
      </c>
      <c r="CD856" t="s">
        <v>223</v>
      </c>
      <c r="CE856" t="s">
        <v>242</v>
      </c>
      <c r="CJ856" t="s">
        <v>206</v>
      </c>
      <c r="CK856" t="s">
        <v>230</v>
      </c>
      <c r="CL856" t="s">
        <v>231</v>
      </c>
      <c r="CM856" t="s">
        <v>232</v>
      </c>
      <c r="CN856" t="s">
        <v>233</v>
      </c>
      <c r="CP856" t="s">
        <v>212</v>
      </c>
      <c r="CQ856" t="s">
        <v>212</v>
      </c>
      <c r="CR856" t="s">
        <v>206</v>
      </c>
      <c r="CS856" t="s">
        <v>212</v>
      </c>
      <c r="CY856" t="s">
        <v>212</v>
      </c>
      <c r="DB856" t="s">
        <v>234</v>
      </c>
      <c r="DE856" t="s">
        <v>212</v>
      </c>
      <c r="DF856" t="s">
        <v>212</v>
      </c>
      <c r="DG856" t="s">
        <v>235</v>
      </c>
      <c r="DH856" t="s">
        <v>212</v>
      </c>
      <c r="DJ856" t="s">
        <v>236</v>
      </c>
      <c r="DM856" t="s">
        <v>212</v>
      </c>
    </row>
    <row r="857" spans="1:117" x14ac:dyDescent="0.3">
      <c r="A857">
        <v>25911623</v>
      </c>
      <c r="B857">
        <v>7389089</v>
      </c>
      <c r="C857" t="str">
        <f>"160420600619"</f>
        <v>160420600619</v>
      </c>
      <c r="D857" t="s">
        <v>2094</v>
      </c>
      <c r="E857" t="s">
        <v>1135</v>
      </c>
      <c r="F857" t="s">
        <v>921</v>
      </c>
      <c r="G857" s="1">
        <v>42480</v>
      </c>
      <c r="I857" t="s">
        <v>199</v>
      </c>
      <c r="J857" t="s">
        <v>200</v>
      </c>
      <c r="K857" t="s">
        <v>268</v>
      </c>
      <c r="Q857" t="s">
        <v>212</v>
      </c>
      <c r="R857" t="str">
        <f>"КАЗАХСТАН, АКМОЛИНСКАЯ, СТЕПНОГОРСК, 41, 66"</f>
        <v>КАЗАХСТАН, АКМОЛИНСКАЯ, СТЕПНОГОРСК, 41, 66</v>
      </c>
      <c r="S857" t="str">
        <f>"ҚАЗАҚСТАН, АҚМОЛА, СТЕПНОГОР, 41, 66"</f>
        <v>ҚАЗАҚСТАН, АҚМОЛА, СТЕПНОГОР, 41, 66</v>
      </c>
      <c r="T857" t="str">
        <f>"41, 66"</f>
        <v>41, 66</v>
      </c>
      <c r="U857" t="str">
        <f>"41, 66"</f>
        <v>41, 66</v>
      </c>
      <c r="AC857" t="str">
        <f t="shared" si="44"/>
        <v>2023-08-25T00:00:00</v>
      </c>
      <c r="AD857" t="str">
        <f t="shared" si="47"/>
        <v>201</v>
      </c>
      <c r="AG857" t="s">
        <v>202</v>
      </c>
      <c r="AI857" t="s">
        <v>299</v>
      </c>
      <c r="AJ857" t="s">
        <v>660</v>
      </c>
      <c r="AK857" t="s">
        <v>205</v>
      </c>
      <c r="AL857" t="s">
        <v>206</v>
      </c>
      <c r="AN857" t="s">
        <v>207</v>
      </c>
      <c r="AO857">
        <v>1</v>
      </c>
      <c r="AP857" t="s">
        <v>208</v>
      </c>
      <c r="AQ857" t="s">
        <v>209</v>
      </c>
      <c r="AR857" t="s">
        <v>502</v>
      </c>
      <c r="AW857" t="s">
        <v>212</v>
      </c>
      <c r="AZ857" t="s">
        <v>209</v>
      </c>
      <c r="BI857" t="s">
        <v>212</v>
      </c>
      <c r="BJ857" t="s">
        <v>213</v>
      </c>
      <c r="BK857" t="s">
        <v>214</v>
      </c>
      <c r="BL857" t="s">
        <v>357</v>
      </c>
      <c r="BN857" t="s">
        <v>661</v>
      </c>
      <c r="BO857" t="s">
        <v>209</v>
      </c>
      <c r="BS857" t="s">
        <v>220</v>
      </c>
      <c r="BU857" t="s">
        <v>212</v>
      </c>
      <c r="BX857" t="s">
        <v>234</v>
      </c>
      <c r="BY857" t="s">
        <v>234</v>
      </c>
      <c r="BZ857" t="s">
        <v>662</v>
      </c>
      <c r="CA857" t="s">
        <v>287</v>
      </c>
      <c r="CC857" t="s">
        <v>209</v>
      </c>
      <c r="CE857" t="s">
        <v>242</v>
      </c>
      <c r="CJ857" t="s">
        <v>206</v>
      </c>
      <c r="CK857" t="s">
        <v>230</v>
      </c>
      <c r="CL857" t="s">
        <v>231</v>
      </c>
      <c r="CM857" t="s">
        <v>232</v>
      </c>
      <c r="CN857" t="s">
        <v>233</v>
      </c>
      <c r="CP857" t="s">
        <v>212</v>
      </c>
      <c r="CQ857" t="s">
        <v>212</v>
      </c>
      <c r="CR857" t="s">
        <v>212</v>
      </c>
      <c r="CS857" t="s">
        <v>212</v>
      </c>
      <c r="CY857" t="s">
        <v>212</v>
      </c>
      <c r="DB857" t="s">
        <v>234</v>
      </c>
      <c r="DE857" t="s">
        <v>212</v>
      </c>
      <c r="DF857" t="s">
        <v>212</v>
      </c>
      <c r="DG857" t="s">
        <v>235</v>
      </c>
      <c r="DH857" t="s">
        <v>212</v>
      </c>
      <c r="DJ857" t="s">
        <v>236</v>
      </c>
      <c r="DM857" t="s">
        <v>212</v>
      </c>
    </row>
    <row r="858" spans="1:117" x14ac:dyDescent="0.3">
      <c r="A858">
        <v>25911925</v>
      </c>
      <c r="B858">
        <v>8867356</v>
      </c>
      <c r="C858" t="str">
        <f>"161207503552"</f>
        <v>161207503552</v>
      </c>
      <c r="D858" t="s">
        <v>2095</v>
      </c>
      <c r="E858" t="s">
        <v>944</v>
      </c>
      <c r="F858" t="s">
        <v>2096</v>
      </c>
      <c r="G858" s="1">
        <v>42711</v>
      </c>
      <c r="I858" t="s">
        <v>240</v>
      </c>
      <c r="J858" t="s">
        <v>200</v>
      </c>
      <c r="K858" t="s">
        <v>201</v>
      </c>
      <c r="Q858" t="s">
        <v>212</v>
      </c>
      <c r="R858" t="str">
        <f>"КАЗАХСТАН, С-КАЗАХСТАНСКАЯ, М.ЖУМАБАЕВА Р-Н, Булаево, 26, 2"</f>
        <v>КАЗАХСТАН, С-КАЗАХСТАНСКАЯ, М.ЖУМАБАЕВА Р-Н, Булаево, 26, 2</v>
      </c>
      <c r="S858" t="str">
        <f>"ҚАЗАҚСТАН, СОЛ-ҚАЗАҚСТАН, М.ЖҰМАБАЕВ АУДАНЫ, Булаево, 26, 2"</f>
        <v>ҚАЗАҚСТАН, СОЛ-ҚАЗАҚСТАН, М.ЖҰМАБАЕВ АУДАНЫ, Булаево, 26, 2</v>
      </c>
      <c r="T858" t="str">
        <f>"Булаево, 26, 2"</f>
        <v>Булаево, 26, 2</v>
      </c>
      <c r="U858" t="str">
        <f>"Булаево, 26, 2"</f>
        <v>Булаево, 26, 2</v>
      </c>
      <c r="AC858" t="str">
        <f t="shared" si="44"/>
        <v>2023-08-25T00:00:00</v>
      </c>
      <c r="AD858" t="str">
        <f t="shared" si="47"/>
        <v>201</v>
      </c>
      <c r="AE858" t="str">
        <f>"2023-09-01T13:45:44"</f>
        <v>2023-09-01T13:45:44</v>
      </c>
      <c r="AF858" t="str">
        <f>"2024-05-25T13:45:44"</f>
        <v>2024-05-25T13:45:44</v>
      </c>
      <c r="AG858" t="s">
        <v>202</v>
      </c>
      <c r="AI858" t="s">
        <v>299</v>
      </c>
      <c r="AJ858" t="s">
        <v>660</v>
      </c>
      <c r="AK858" t="s">
        <v>261</v>
      </c>
      <c r="AL858" t="s">
        <v>206</v>
      </c>
      <c r="AN858" t="s">
        <v>207</v>
      </c>
      <c r="AO858">
        <v>1</v>
      </c>
      <c r="AP858" t="s">
        <v>208</v>
      </c>
      <c r="AQ858" t="s">
        <v>209</v>
      </c>
      <c r="AR858" t="s">
        <v>502</v>
      </c>
      <c r="AW858" t="s">
        <v>212</v>
      </c>
      <c r="AZ858" t="s">
        <v>209</v>
      </c>
      <c r="BI858" t="s">
        <v>212</v>
      </c>
      <c r="BJ858" t="s">
        <v>213</v>
      </c>
      <c r="BK858" t="s">
        <v>214</v>
      </c>
      <c r="BL858" t="s">
        <v>357</v>
      </c>
      <c r="BN858" t="s">
        <v>661</v>
      </c>
      <c r="BO858" t="s">
        <v>209</v>
      </c>
      <c r="BS858" t="s">
        <v>220</v>
      </c>
      <c r="BU858" t="s">
        <v>212</v>
      </c>
      <c r="BZ858" t="s">
        <v>662</v>
      </c>
      <c r="CA858" t="s">
        <v>287</v>
      </c>
      <c r="CC858" t="s">
        <v>209</v>
      </c>
      <c r="CE858" t="s">
        <v>242</v>
      </c>
      <c r="CJ858" t="s">
        <v>206</v>
      </c>
      <c r="CK858" t="s">
        <v>230</v>
      </c>
      <c r="CL858" t="s">
        <v>231</v>
      </c>
      <c r="CM858" t="s">
        <v>232</v>
      </c>
      <c r="CN858" t="s">
        <v>233</v>
      </c>
      <c r="CP858" t="s">
        <v>212</v>
      </c>
      <c r="CQ858" t="s">
        <v>212</v>
      </c>
      <c r="CR858" t="s">
        <v>212</v>
      </c>
      <c r="CS858" t="s">
        <v>212</v>
      </c>
      <c r="CY858" t="s">
        <v>212</v>
      </c>
      <c r="DB858" t="s">
        <v>653</v>
      </c>
      <c r="DC858" t="str">
        <f>"№1920 Общее недоразвитие речи 3 уровня."</f>
        <v>№1920 Общее недоразвитие речи 3 уровня.</v>
      </c>
      <c r="DD858" t="str">
        <f>"2023-12-26T00:00:00"</f>
        <v>2023-12-26T00:00:00</v>
      </c>
      <c r="DE858" t="s">
        <v>212</v>
      </c>
      <c r="DF858" t="s">
        <v>206</v>
      </c>
      <c r="DG858" t="s">
        <v>235</v>
      </c>
      <c r="DH858" t="s">
        <v>212</v>
      </c>
      <c r="DJ858" t="s">
        <v>236</v>
      </c>
      <c r="DM858" t="s">
        <v>212</v>
      </c>
    </row>
    <row r="859" spans="1:117" x14ac:dyDescent="0.3">
      <c r="A859">
        <v>25912205</v>
      </c>
      <c r="B859">
        <v>9600329</v>
      </c>
      <c r="C859" t="str">
        <f>"170320602198"</f>
        <v>170320602198</v>
      </c>
      <c r="D859" t="s">
        <v>1123</v>
      </c>
      <c r="E859" t="s">
        <v>930</v>
      </c>
      <c r="F859" t="s">
        <v>305</v>
      </c>
      <c r="G859" s="1">
        <v>42814</v>
      </c>
      <c r="I859" t="s">
        <v>199</v>
      </c>
      <c r="J859" t="s">
        <v>200</v>
      </c>
      <c r="K859" t="s">
        <v>260</v>
      </c>
      <c r="Q859" t="s">
        <v>212</v>
      </c>
      <c r="R859" t="str">
        <f>"КАЗАХСТАН, АКМОЛИНСКАЯ, СТЕПНОГОРСК, -, 35, 13"</f>
        <v>КАЗАХСТАН, АКМОЛИНСКАЯ, СТЕПНОГОРСК, -, 35, 13</v>
      </c>
      <c r="S859" t="str">
        <f>"ҚАЗАҚСТАН, АҚМОЛА, СТЕПНОГОР, -, 35, 13"</f>
        <v>ҚАЗАҚСТАН, АҚМОЛА, СТЕПНОГОР, -, 35, 13</v>
      </c>
      <c r="T859" t="str">
        <f>"-, 35, 13"</f>
        <v>-, 35, 13</v>
      </c>
      <c r="U859" t="str">
        <f>"-, 35, 13"</f>
        <v>-, 35, 13</v>
      </c>
      <c r="AC859" t="str">
        <f t="shared" si="44"/>
        <v>2023-08-25T00:00:00</v>
      </c>
      <c r="AD859" t="str">
        <f t="shared" si="47"/>
        <v>201</v>
      </c>
      <c r="AG859" t="s">
        <v>202</v>
      </c>
      <c r="AI859" t="s">
        <v>274</v>
      </c>
      <c r="AJ859" t="s">
        <v>660</v>
      </c>
      <c r="AK859" t="s">
        <v>261</v>
      </c>
      <c r="AL859" t="s">
        <v>206</v>
      </c>
      <c r="AN859" t="s">
        <v>207</v>
      </c>
      <c r="AO859">
        <v>1</v>
      </c>
      <c r="AP859" t="s">
        <v>208</v>
      </c>
      <c r="AQ859" t="s">
        <v>209</v>
      </c>
      <c r="AR859" t="s">
        <v>502</v>
      </c>
      <c r="AW859" t="s">
        <v>212</v>
      </c>
      <c r="AZ859" t="s">
        <v>209</v>
      </c>
      <c r="BI859" t="s">
        <v>212</v>
      </c>
      <c r="BJ859" t="s">
        <v>213</v>
      </c>
      <c r="BK859" t="s">
        <v>214</v>
      </c>
      <c r="BL859" t="s">
        <v>357</v>
      </c>
      <c r="BN859" t="s">
        <v>661</v>
      </c>
      <c r="BO859" t="s">
        <v>209</v>
      </c>
      <c r="BS859" t="s">
        <v>220</v>
      </c>
      <c r="BU859" t="s">
        <v>212</v>
      </c>
      <c r="BZ859" t="s">
        <v>662</v>
      </c>
      <c r="CA859" t="s">
        <v>287</v>
      </c>
      <c r="CC859" t="s">
        <v>209</v>
      </c>
      <c r="CE859" t="s">
        <v>242</v>
      </c>
      <c r="CJ859" t="s">
        <v>206</v>
      </c>
      <c r="CK859" t="s">
        <v>230</v>
      </c>
      <c r="CL859" t="s">
        <v>231</v>
      </c>
      <c r="CM859" t="s">
        <v>232</v>
      </c>
      <c r="CN859" t="s">
        <v>233</v>
      </c>
      <c r="CP859" t="s">
        <v>212</v>
      </c>
      <c r="CQ859" t="s">
        <v>212</v>
      </c>
      <c r="CR859" t="s">
        <v>212</v>
      </c>
      <c r="CS859" t="s">
        <v>212</v>
      </c>
      <c r="CY859" t="s">
        <v>212</v>
      </c>
      <c r="DB859" t="s">
        <v>653</v>
      </c>
      <c r="DC859" t="str">
        <f>"№564. Общее недоразвитие речи  3 уровня"</f>
        <v>№564. Общее недоразвитие речи  3 уровня</v>
      </c>
      <c r="DD859" t="str">
        <f>"2023-05-19T00:00:00"</f>
        <v>2023-05-19T00:00:00</v>
      </c>
      <c r="DE859" t="s">
        <v>212</v>
      </c>
      <c r="DF859" t="s">
        <v>206</v>
      </c>
      <c r="DG859" t="s">
        <v>235</v>
      </c>
      <c r="DH859" t="s">
        <v>212</v>
      </c>
      <c r="DJ859" t="s">
        <v>236</v>
      </c>
      <c r="DM859" t="s">
        <v>212</v>
      </c>
    </row>
    <row r="860" spans="1:117" x14ac:dyDescent="0.3">
      <c r="A860">
        <v>25912451</v>
      </c>
      <c r="B860">
        <v>13384157</v>
      </c>
      <c r="C860" t="str">
        <f>"160722505902"</f>
        <v>160722505902</v>
      </c>
      <c r="D860" t="s">
        <v>2097</v>
      </c>
      <c r="E860" t="s">
        <v>258</v>
      </c>
      <c r="F860" t="s">
        <v>321</v>
      </c>
      <c r="G860" s="1">
        <v>42573</v>
      </c>
      <c r="I860" t="s">
        <v>240</v>
      </c>
      <c r="J860" t="s">
        <v>200</v>
      </c>
      <c r="K860" t="s">
        <v>260</v>
      </c>
      <c r="Q860" t="s">
        <v>212</v>
      </c>
      <c r="R860" t="str">
        <f>"КАЗАХСТАН, АКМОЛИНСКАЯ, СТЕПНОГОРСК, 7"</f>
        <v>КАЗАХСТАН, АКМОЛИНСКАЯ, СТЕПНОГОРСК, 7</v>
      </c>
      <c r="S860" t="str">
        <f>"ҚАЗАҚСТАН, АҚМОЛА, СТЕПНОГОР, 7"</f>
        <v>ҚАЗАҚСТАН, АҚМОЛА, СТЕПНОГОР, 7</v>
      </c>
      <c r="T860" t="str">
        <f>"7"</f>
        <v>7</v>
      </c>
      <c r="U860" t="str">
        <f>"7"</f>
        <v>7</v>
      </c>
      <c r="AC860" t="str">
        <f t="shared" si="44"/>
        <v>2023-08-25T00:00:00</v>
      </c>
      <c r="AD860" t="str">
        <f t="shared" si="47"/>
        <v>201</v>
      </c>
      <c r="AG860" t="s">
        <v>202</v>
      </c>
      <c r="AI860" t="s">
        <v>274</v>
      </c>
      <c r="AJ860" t="s">
        <v>660</v>
      </c>
      <c r="AK860" t="s">
        <v>261</v>
      </c>
      <c r="AL860" t="s">
        <v>206</v>
      </c>
      <c r="AN860" t="s">
        <v>207</v>
      </c>
      <c r="AO860">
        <v>1</v>
      </c>
      <c r="AP860" t="s">
        <v>208</v>
      </c>
      <c r="AQ860" t="s">
        <v>209</v>
      </c>
      <c r="AR860" t="s">
        <v>502</v>
      </c>
      <c r="AW860" t="s">
        <v>212</v>
      </c>
      <c r="AZ860" t="s">
        <v>209</v>
      </c>
      <c r="BI860" t="s">
        <v>212</v>
      </c>
      <c r="BJ860" t="s">
        <v>213</v>
      </c>
      <c r="BK860" t="s">
        <v>214</v>
      </c>
      <c r="BL860" t="s">
        <v>357</v>
      </c>
      <c r="BN860" t="s">
        <v>661</v>
      </c>
      <c r="BO860" t="s">
        <v>209</v>
      </c>
      <c r="BS860" t="s">
        <v>220</v>
      </c>
      <c r="BU860" t="s">
        <v>212</v>
      </c>
      <c r="BZ860" t="s">
        <v>662</v>
      </c>
      <c r="CA860" t="s">
        <v>287</v>
      </c>
      <c r="CC860" t="s">
        <v>209</v>
      </c>
      <c r="CE860" t="s">
        <v>242</v>
      </c>
      <c r="CJ860" t="s">
        <v>206</v>
      </c>
      <c r="CK860" t="s">
        <v>230</v>
      </c>
      <c r="CL860" t="s">
        <v>231</v>
      </c>
      <c r="CM860" t="s">
        <v>232</v>
      </c>
      <c r="CN860" t="s">
        <v>233</v>
      </c>
      <c r="CP860" t="s">
        <v>212</v>
      </c>
      <c r="CQ860" t="s">
        <v>212</v>
      </c>
      <c r="CR860" t="s">
        <v>212</v>
      </c>
      <c r="CS860" t="s">
        <v>212</v>
      </c>
      <c r="CY860" t="s">
        <v>212</v>
      </c>
      <c r="DB860" t="s">
        <v>234</v>
      </c>
      <c r="DE860" t="s">
        <v>212</v>
      </c>
      <c r="DF860" t="s">
        <v>212</v>
      </c>
      <c r="DG860" t="s">
        <v>235</v>
      </c>
      <c r="DH860" t="s">
        <v>212</v>
      </c>
      <c r="DJ860" t="s">
        <v>236</v>
      </c>
      <c r="DM860" t="s">
        <v>212</v>
      </c>
    </row>
    <row r="861" spans="1:117" x14ac:dyDescent="0.3">
      <c r="A861">
        <v>25913262</v>
      </c>
      <c r="B861">
        <v>8862310</v>
      </c>
      <c r="C861" t="str">
        <f>"170511504730"</f>
        <v>170511504730</v>
      </c>
      <c r="D861" t="s">
        <v>2098</v>
      </c>
      <c r="E861" t="s">
        <v>289</v>
      </c>
      <c r="F861" t="s">
        <v>676</v>
      </c>
      <c r="G861" s="1">
        <v>42866</v>
      </c>
      <c r="I861" t="s">
        <v>240</v>
      </c>
      <c r="J861" t="s">
        <v>200</v>
      </c>
      <c r="K861" t="s">
        <v>306</v>
      </c>
      <c r="Q861" t="s">
        <v>212</v>
      </c>
      <c r="R861" t="str">
        <f>"КАЗАХСТАН, АКМОЛИНСКАЯ, СТЕПНОГОРСК, 85, 6"</f>
        <v>КАЗАХСТАН, АКМОЛИНСКАЯ, СТЕПНОГОРСК, 85, 6</v>
      </c>
      <c r="S861" t="str">
        <f>"ҚАЗАҚСТАН, АҚМОЛА, СТЕПНОГОР, 85, 6"</f>
        <v>ҚАЗАҚСТАН, АҚМОЛА, СТЕПНОГОР, 85, 6</v>
      </c>
      <c r="T861" t="str">
        <f>"85, 6"</f>
        <v>85, 6</v>
      </c>
      <c r="U861" t="str">
        <f>"85, 6"</f>
        <v>85, 6</v>
      </c>
      <c r="AC861" t="str">
        <f t="shared" si="44"/>
        <v>2023-08-25T00:00:00</v>
      </c>
      <c r="AD861" t="str">
        <f t="shared" si="47"/>
        <v>201</v>
      </c>
      <c r="AG861" t="s">
        <v>202</v>
      </c>
      <c r="AI861" t="s">
        <v>299</v>
      </c>
      <c r="AJ861" t="s">
        <v>660</v>
      </c>
      <c r="AK861" t="s">
        <v>261</v>
      </c>
      <c r="AL861" t="s">
        <v>206</v>
      </c>
      <c r="AN861" t="s">
        <v>207</v>
      </c>
      <c r="AO861">
        <v>1</v>
      </c>
      <c r="AP861" t="s">
        <v>208</v>
      </c>
      <c r="AQ861" t="s">
        <v>209</v>
      </c>
      <c r="AR861" t="s">
        <v>502</v>
      </c>
      <c r="AW861" t="s">
        <v>212</v>
      </c>
      <c r="AZ861" t="s">
        <v>209</v>
      </c>
      <c r="BI861" t="s">
        <v>212</v>
      </c>
      <c r="BJ861" t="s">
        <v>213</v>
      </c>
      <c r="BK861" t="s">
        <v>214</v>
      </c>
      <c r="BL861" t="s">
        <v>357</v>
      </c>
      <c r="BN861" t="s">
        <v>661</v>
      </c>
      <c r="BO861" t="s">
        <v>209</v>
      </c>
      <c r="BS861" t="s">
        <v>220</v>
      </c>
      <c r="BU861" t="s">
        <v>212</v>
      </c>
      <c r="BX861" t="s">
        <v>234</v>
      </c>
      <c r="BY861" t="s">
        <v>234</v>
      </c>
      <c r="BZ861" t="s">
        <v>662</v>
      </c>
      <c r="CA861" t="s">
        <v>287</v>
      </c>
      <c r="CC861" t="s">
        <v>209</v>
      </c>
      <c r="CE861" t="s">
        <v>242</v>
      </c>
      <c r="CJ861" t="s">
        <v>206</v>
      </c>
      <c r="CK861" t="s">
        <v>230</v>
      </c>
      <c r="CL861" t="s">
        <v>231</v>
      </c>
      <c r="CM861" t="s">
        <v>232</v>
      </c>
      <c r="CN861" t="s">
        <v>233</v>
      </c>
      <c r="CP861" t="s">
        <v>212</v>
      </c>
      <c r="CQ861" t="s">
        <v>212</v>
      </c>
      <c r="CR861" t="s">
        <v>212</v>
      </c>
      <c r="CS861" t="s">
        <v>212</v>
      </c>
      <c r="CY861" t="s">
        <v>212</v>
      </c>
      <c r="DB861" t="s">
        <v>234</v>
      </c>
      <c r="DE861" t="s">
        <v>212</v>
      </c>
      <c r="DF861" t="s">
        <v>212</v>
      </c>
      <c r="DG861" t="s">
        <v>235</v>
      </c>
      <c r="DH861" t="s">
        <v>212</v>
      </c>
      <c r="DJ861" t="s">
        <v>236</v>
      </c>
      <c r="DM861" t="s">
        <v>212</v>
      </c>
    </row>
    <row r="862" spans="1:117" x14ac:dyDescent="0.3">
      <c r="A862">
        <v>25921508</v>
      </c>
      <c r="B862">
        <v>321436</v>
      </c>
      <c r="C862" t="str">
        <f>"110923502288"</f>
        <v>110923502288</v>
      </c>
      <c r="D862" t="s">
        <v>1718</v>
      </c>
      <c r="E862" t="s">
        <v>620</v>
      </c>
      <c r="F862" t="s">
        <v>1738</v>
      </c>
      <c r="G862" s="1">
        <v>40809</v>
      </c>
      <c r="I862" t="s">
        <v>240</v>
      </c>
      <c r="J862" t="s">
        <v>200</v>
      </c>
      <c r="K862" t="s">
        <v>260</v>
      </c>
      <c r="R862" t="str">
        <f>"КАЗАХСТАН, АКМОЛИНСКАЯ, СТЕПНОГОРСК, 18, 214"</f>
        <v>КАЗАХСТАН, АКМОЛИНСКАЯ, СТЕПНОГОРСК, 18, 214</v>
      </c>
      <c r="S862" t="str">
        <f>"ҚАЗАҚСТАН, АҚМОЛА, СТЕПНОГОР, 18, 214"</f>
        <v>ҚАЗАҚСТАН, АҚМОЛА, СТЕПНОГОР, 18, 214</v>
      </c>
      <c r="T862" t="str">
        <f>"18, 214"</f>
        <v>18, 214</v>
      </c>
      <c r="U862" t="str">
        <f>"18, 214"</f>
        <v>18, 214</v>
      </c>
      <c r="AC862" t="str">
        <f>"2023-08-22T00:00:00"</f>
        <v>2023-08-22T00:00:00</v>
      </c>
      <c r="AD862" t="str">
        <f>"63"</f>
        <v>63</v>
      </c>
      <c r="AG862" t="s">
        <v>202</v>
      </c>
      <c r="AI862" t="s">
        <v>299</v>
      </c>
      <c r="AJ862" t="s">
        <v>348</v>
      </c>
      <c r="AK862" t="s">
        <v>205</v>
      </c>
      <c r="AL862" t="s">
        <v>206</v>
      </c>
      <c r="AN862" t="s">
        <v>207</v>
      </c>
      <c r="AO862">
        <v>1</v>
      </c>
      <c r="AP862" t="s">
        <v>208</v>
      </c>
      <c r="AQ862" t="s">
        <v>209</v>
      </c>
      <c r="AR862" t="s">
        <v>502</v>
      </c>
      <c r="AW862" t="s">
        <v>212</v>
      </c>
      <c r="AZ862" t="s">
        <v>209</v>
      </c>
      <c r="BI862" t="s">
        <v>212</v>
      </c>
      <c r="BJ862" t="s">
        <v>213</v>
      </c>
      <c r="BK862" t="s">
        <v>214</v>
      </c>
      <c r="BL862" t="s">
        <v>215</v>
      </c>
      <c r="BN862" t="s">
        <v>247</v>
      </c>
      <c r="BO862" t="s">
        <v>209</v>
      </c>
      <c r="BP862" t="s">
        <v>241</v>
      </c>
      <c r="BQ862">
        <v>3</v>
      </c>
      <c r="BS862" t="s">
        <v>219</v>
      </c>
      <c r="BT862" t="s">
        <v>220</v>
      </c>
      <c r="BU862" t="s">
        <v>206</v>
      </c>
      <c r="CA862" t="s">
        <v>287</v>
      </c>
      <c r="CC862" t="s">
        <v>209</v>
      </c>
      <c r="CE862" t="s">
        <v>342</v>
      </c>
      <c r="CF862" t="s">
        <v>226</v>
      </c>
      <c r="CG862" t="s">
        <v>227</v>
      </c>
      <c r="CH862" t="s">
        <v>228</v>
      </c>
      <c r="CI862" t="s">
        <v>2099</v>
      </c>
      <c r="CJ862" t="s">
        <v>206</v>
      </c>
      <c r="CK862" t="s">
        <v>230</v>
      </c>
      <c r="CL862" t="s">
        <v>231</v>
      </c>
      <c r="CM862" t="s">
        <v>232</v>
      </c>
      <c r="CN862" t="s">
        <v>233</v>
      </c>
      <c r="CP862" t="s">
        <v>212</v>
      </c>
      <c r="CQ862" t="s">
        <v>212</v>
      </c>
      <c r="CR862" t="s">
        <v>212</v>
      </c>
      <c r="CS862" t="s">
        <v>212</v>
      </c>
      <c r="CY862" t="s">
        <v>212</v>
      </c>
      <c r="DB862" t="s">
        <v>234</v>
      </c>
      <c r="DE862" t="s">
        <v>212</v>
      </c>
      <c r="DF862" t="s">
        <v>212</v>
      </c>
      <c r="DG862" t="s">
        <v>235</v>
      </c>
      <c r="DH862" t="s">
        <v>212</v>
      </c>
      <c r="DJ862" t="s">
        <v>236</v>
      </c>
      <c r="DM862" t="s">
        <v>212</v>
      </c>
    </row>
    <row r="863" spans="1:117" x14ac:dyDescent="0.3">
      <c r="A863">
        <v>25927970</v>
      </c>
      <c r="B863">
        <v>9810349</v>
      </c>
      <c r="C863" t="str">
        <f>"161230500513"</f>
        <v>161230500513</v>
      </c>
      <c r="D863" t="s">
        <v>2100</v>
      </c>
      <c r="E863" t="s">
        <v>2101</v>
      </c>
      <c r="F863" t="s">
        <v>645</v>
      </c>
      <c r="G863" s="1">
        <v>42734</v>
      </c>
      <c r="I863" t="s">
        <v>240</v>
      </c>
      <c r="J863" t="s">
        <v>200</v>
      </c>
      <c r="K863" t="s">
        <v>201</v>
      </c>
      <c r="Q863" t="s">
        <v>212</v>
      </c>
      <c r="R863" t="str">
        <f>"КАЗАХСТАН, АКМОЛИНСКАЯ, КОКШЕТАУ, КЕНТI Станционный, 7, 1"</f>
        <v>КАЗАХСТАН, АКМОЛИНСКАЯ, КОКШЕТАУ, КЕНТI Станционный, 7, 1</v>
      </c>
      <c r="S863" t="str">
        <f>"ҚАЗАҚСТАН, АҚМОЛА, КӨКШЕТАУ, КЕНТI Станционный, 7, 1"</f>
        <v>ҚАЗАҚСТАН, АҚМОЛА, КӨКШЕТАУ, КЕНТI Станционный, 7, 1</v>
      </c>
      <c r="T863" t="str">
        <f>"КЕНТI Станционный, 7, 1"</f>
        <v>КЕНТI Станционный, 7, 1</v>
      </c>
      <c r="U863" t="str">
        <f>"КЕНТI Станционный, 7, 1"</f>
        <v>КЕНТI Станционный, 7, 1</v>
      </c>
      <c r="AC863" t="str">
        <f>"2023-08-25T00:00:00"</f>
        <v>2023-08-25T00:00:00</v>
      </c>
      <c r="AD863" t="str">
        <f>"201"</f>
        <v>201</v>
      </c>
      <c r="AG863" t="s">
        <v>202</v>
      </c>
      <c r="AI863" t="s">
        <v>269</v>
      </c>
      <c r="AJ863" t="s">
        <v>660</v>
      </c>
      <c r="AK863" t="s">
        <v>246</v>
      </c>
      <c r="AL863" t="s">
        <v>206</v>
      </c>
      <c r="AN863" t="s">
        <v>207</v>
      </c>
      <c r="AO863">
        <v>1</v>
      </c>
      <c r="AP863" t="s">
        <v>208</v>
      </c>
      <c r="AQ863" t="s">
        <v>209</v>
      </c>
      <c r="AR863" t="s">
        <v>502</v>
      </c>
      <c r="AW863" t="s">
        <v>212</v>
      </c>
      <c r="AZ863" t="s">
        <v>209</v>
      </c>
      <c r="BI863" t="s">
        <v>212</v>
      </c>
      <c r="BJ863" t="s">
        <v>213</v>
      </c>
      <c r="BK863" t="s">
        <v>214</v>
      </c>
      <c r="BL863" t="s">
        <v>357</v>
      </c>
      <c r="BN863" t="s">
        <v>661</v>
      </c>
      <c r="BO863" t="s">
        <v>209</v>
      </c>
      <c r="BS863" t="s">
        <v>220</v>
      </c>
      <c r="BU863" t="s">
        <v>212</v>
      </c>
      <c r="BZ863" t="s">
        <v>662</v>
      </c>
      <c r="CA863" t="s">
        <v>287</v>
      </c>
      <c r="CC863" t="s">
        <v>209</v>
      </c>
      <c r="CE863" t="s">
        <v>242</v>
      </c>
      <c r="CJ863" t="s">
        <v>206</v>
      </c>
      <c r="CK863" t="s">
        <v>230</v>
      </c>
      <c r="CL863" t="s">
        <v>231</v>
      </c>
      <c r="CM863" t="s">
        <v>232</v>
      </c>
      <c r="CN863" t="s">
        <v>233</v>
      </c>
      <c r="CP863" t="s">
        <v>212</v>
      </c>
      <c r="CQ863" t="s">
        <v>212</v>
      </c>
      <c r="CR863" t="s">
        <v>212</v>
      </c>
      <c r="CS863" t="s">
        <v>212</v>
      </c>
      <c r="CY863" t="s">
        <v>212</v>
      </c>
      <c r="DB863" t="s">
        <v>234</v>
      </c>
      <c r="DE863" t="s">
        <v>212</v>
      </c>
      <c r="DF863" t="s">
        <v>212</v>
      </c>
      <c r="DG863" t="s">
        <v>235</v>
      </c>
      <c r="DH863" t="s">
        <v>212</v>
      </c>
      <c r="DJ863" t="s">
        <v>236</v>
      </c>
      <c r="DM863" t="s">
        <v>212</v>
      </c>
    </row>
    <row r="864" spans="1:117" x14ac:dyDescent="0.3">
      <c r="A864">
        <v>25939658</v>
      </c>
      <c r="B864">
        <v>74120</v>
      </c>
      <c r="C864" t="str">
        <f>"131003502531"</f>
        <v>131003502531</v>
      </c>
      <c r="D864" t="s">
        <v>428</v>
      </c>
      <c r="E864" t="s">
        <v>1066</v>
      </c>
      <c r="F864" t="s">
        <v>645</v>
      </c>
      <c r="G864" s="1">
        <v>41550</v>
      </c>
      <c r="I864" t="s">
        <v>240</v>
      </c>
      <c r="J864" t="s">
        <v>200</v>
      </c>
      <c r="K864" t="s">
        <v>201</v>
      </c>
      <c r="Q864" t="s">
        <v>212</v>
      </c>
      <c r="R864" t="str">
        <f>"КАЗАХСТАН, АКМОЛИНСКАЯ, РАЙОН БИРЖАН САЛ, Степняк, 32, 18"</f>
        <v>КАЗАХСТАН, АКМОЛИНСКАЯ, РАЙОН БИРЖАН САЛ, Степняк, 32, 18</v>
      </c>
      <c r="S864" t="str">
        <f>"ҚАЗАҚСТАН, АҚМОЛА, БІРЖАН САЛ АУДАНЫ, Степняк, 32, 18"</f>
        <v>ҚАЗАҚСТАН, АҚМОЛА, БІРЖАН САЛ АУДАНЫ, Степняк, 32, 18</v>
      </c>
      <c r="T864" t="str">
        <f>"Степняк, 32, 18"</f>
        <v>Степняк, 32, 18</v>
      </c>
      <c r="U864" t="str">
        <f>"Степняк, 32, 18"</f>
        <v>Степняк, 32, 18</v>
      </c>
      <c r="AC864" t="str">
        <f>"2023-08-31T00:00:00"</f>
        <v>2023-08-31T00:00:00</v>
      </c>
      <c r="AD864" t="str">
        <f>"70"</f>
        <v>70</v>
      </c>
      <c r="AE864" t="str">
        <f>"2023-09-01T17:55:16"</f>
        <v>2023-09-01T17:55:16</v>
      </c>
      <c r="AF864" t="str">
        <f>"2024-05-25T17:55:16"</f>
        <v>2024-05-25T17:55:16</v>
      </c>
      <c r="AG864" t="s">
        <v>333</v>
      </c>
      <c r="AI864" t="s">
        <v>299</v>
      </c>
      <c r="AJ864" t="s">
        <v>419</v>
      </c>
      <c r="AK864" t="s">
        <v>253</v>
      </c>
      <c r="AL864" t="s">
        <v>206</v>
      </c>
      <c r="AN864" t="s">
        <v>254</v>
      </c>
      <c r="AO864">
        <v>1</v>
      </c>
      <c r="AP864" t="s">
        <v>208</v>
      </c>
      <c r="AQ864" t="s">
        <v>209</v>
      </c>
      <c r="AR864" t="s">
        <v>210</v>
      </c>
      <c r="AW864" t="s">
        <v>206</v>
      </c>
      <c r="AX864" t="s">
        <v>211</v>
      </c>
      <c r="AZ864" t="s">
        <v>209</v>
      </c>
      <c r="BI864" t="s">
        <v>212</v>
      </c>
      <c r="BJ864" t="s">
        <v>213</v>
      </c>
      <c r="BK864" t="s">
        <v>214</v>
      </c>
      <c r="BL864" t="s">
        <v>215</v>
      </c>
      <c r="BN864" t="s">
        <v>216</v>
      </c>
      <c r="BO864" t="s">
        <v>209</v>
      </c>
      <c r="BP864" t="s">
        <v>241</v>
      </c>
      <c r="BQ864">
        <v>4</v>
      </c>
      <c r="BS864" t="s">
        <v>219</v>
      </c>
      <c r="BT864" t="s">
        <v>220</v>
      </c>
      <c r="BU864" t="s">
        <v>206</v>
      </c>
      <c r="CA864" t="s">
        <v>287</v>
      </c>
      <c r="CC864" t="s">
        <v>222</v>
      </c>
      <c r="CD864" t="s">
        <v>349</v>
      </c>
      <c r="CE864" t="s">
        <v>242</v>
      </c>
      <c r="CJ864" t="s">
        <v>206</v>
      </c>
      <c r="CK864" t="s">
        <v>230</v>
      </c>
      <c r="CL864" t="s">
        <v>231</v>
      </c>
      <c r="CM864" t="s">
        <v>232</v>
      </c>
      <c r="CN864" t="s">
        <v>233</v>
      </c>
      <c r="CP864" t="s">
        <v>212</v>
      </c>
      <c r="CQ864" t="s">
        <v>212</v>
      </c>
      <c r="CR864" t="s">
        <v>212</v>
      </c>
      <c r="CS864" t="s">
        <v>212</v>
      </c>
      <c r="CY864" t="s">
        <v>212</v>
      </c>
      <c r="DB864" t="s">
        <v>234</v>
      </c>
      <c r="DE864" t="s">
        <v>212</v>
      </c>
      <c r="DF864" t="s">
        <v>212</v>
      </c>
      <c r="DG864" t="s">
        <v>235</v>
      </c>
      <c r="DH864" t="s">
        <v>212</v>
      </c>
      <c r="DJ864" t="s">
        <v>236</v>
      </c>
      <c r="DM864" t="s">
        <v>206</v>
      </c>
    </row>
    <row r="865" spans="1:117" x14ac:dyDescent="0.3">
      <c r="A865">
        <v>25952504</v>
      </c>
      <c r="B865">
        <v>9774480</v>
      </c>
      <c r="C865" t="str">
        <f>"170222502119"</f>
        <v>170222502119</v>
      </c>
      <c r="D865" t="s">
        <v>2102</v>
      </c>
      <c r="E865" t="s">
        <v>1200</v>
      </c>
      <c r="F865" t="s">
        <v>2103</v>
      </c>
      <c r="G865" s="1">
        <v>42788</v>
      </c>
      <c r="I865" t="s">
        <v>240</v>
      </c>
      <c r="J865" t="s">
        <v>200</v>
      </c>
      <c r="K865" t="s">
        <v>201</v>
      </c>
      <c r="Q865" t="s">
        <v>212</v>
      </c>
      <c r="R865" t="str">
        <f>"КАЗАХСТАН, АКМОЛИНСКАЯ, СТЕПНОГОРСК, 52, 714"</f>
        <v>КАЗАХСТАН, АКМОЛИНСКАЯ, СТЕПНОГОРСК, 52, 714</v>
      </c>
      <c r="S865" t="str">
        <f>"ҚАЗАҚСТАН, АҚМОЛА, СТЕПНОГОР, 52, 714"</f>
        <v>ҚАЗАҚСТАН, АҚМОЛА, СТЕПНОГОР, 52, 714</v>
      </c>
      <c r="T865" t="str">
        <f>"52, 714"</f>
        <v>52, 714</v>
      </c>
      <c r="U865" t="str">
        <f>"52, 714"</f>
        <v>52, 714</v>
      </c>
      <c r="AC865" t="str">
        <f>"2023-10-09T00:00:00"</f>
        <v>2023-10-09T00:00:00</v>
      </c>
      <c r="AD865" t="str">
        <f>"90"</f>
        <v>90</v>
      </c>
      <c r="AE865" t="str">
        <f>"2023-09-01T13:44:05"</f>
        <v>2023-09-01T13:44:05</v>
      </c>
      <c r="AF865" t="str">
        <f>"2024-05-25T13:44:05"</f>
        <v>2024-05-25T13:44:05</v>
      </c>
      <c r="AG865" t="s">
        <v>202</v>
      </c>
      <c r="AI865" t="s">
        <v>274</v>
      </c>
      <c r="AJ865" t="s">
        <v>660</v>
      </c>
      <c r="AK865" t="s">
        <v>205</v>
      </c>
      <c r="AL865" t="s">
        <v>206</v>
      </c>
      <c r="AN865" t="s">
        <v>207</v>
      </c>
      <c r="AO865">
        <v>1</v>
      </c>
      <c r="AP865" t="s">
        <v>208</v>
      </c>
      <c r="AQ865" t="s">
        <v>209</v>
      </c>
      <c r="AR865" t="s">
        <v>502</v>
      </c>
      <c r="AW865" t="s">
        <v>212</v>
      </c>
      <c r="AZ865" t="s">
        <v>209</v>
      </c>
      <c r="BI865" t="s">
        <v>212</v>
      </c>
      <c r="BJ865" t="s">
        <v>213</v>
      </c>
      <c r="BK865" t="s">
        <v>214</v>
      </c>
      <c r="BL865" t="s">
        <v>357</v>
      </c>
      <c r="BN865" t="s">
        <v>661</v>
      </c>
      <c r="BO865" t="s">
        <v>209</v>
      </c>
      <c r="BS865" t="s">
        <v>220</v>
      </c>
      <c r="BU865" t="s">
        <v>212</v>
      </c>
      <c r="BZ865" t="s">
        <v>662</v>
      </c>
      <c r="CA865" t="s">
        <v>287</v>
      </c>
      <c r="CC865" t="s">
        <v>209</v>
      </c>
      <c r="CE865" t="s">
        <v>242</v>
      </c>
      <c r="CJ865" t="s">
        <v>206</v>
      </c>
      <c r="CK865" t="s">
        <v>230</v>
      </c>
      <c r="CL865" t="s">
        <v>231</v>
      </c>
      <c r="CM865" t="s">
        <v>232</v>
      </c>
      <c r="CN865" t="s">
        <v>233</v>
      </c>
      <c r="CP865" t="s">
        <v>212</v>
      </c>
      <c r="CQ865" t="s">
        <v>212</v>
      </c>
      <c r="CR865" t="s">
        <v>212</v>
      </c>
      <c r="CS865" t="s">
        <v>212</v>
      </c>
      <c r="CY865" t="s">
        <v>212</v>
      </c>
      <c r="DB865" t="s">
        <v>653</v>
      </c>
      <c r="DC865" t="str">
        <f>"№1921 Общее недоразвитие речи 3 уровня."</f>
        <v>№1921 Общее недоразвитие речи 3 уровня.</v>
      </c>
      <c r="DD865" t="str">
        <f>"2023-12-26T00:00:00"</f>
        <v>2023-12-26T00:00:00</v>
      </c>
      <c r="DE865" t="s">
        <v>212</v>
      </c>
      <c r="DF865" t="s">
        <v>206</v>
      </c>
      <c r="DG865" t="s">
        <v>235</v>
      </c>
      <c r="DH865" t="s">
        <v>212</v>
      </c>
      <c r="DJ865" t="s">
        <v>236</v>
      </c>
      <c r="DM865" t="s">
        <v>212</v>
      </c>
    </row>
    <row r="866" spans="1:117" x14ac:dyDescent="0.3">
      <c r="A866">
        <v>25952712</v>
      </c>
      <c r="B866">
        <v>13390364</v>
      </c>
      <c r="C866" t="str">
        <f>"161128603371"</f>
        <v>161128603371</v>
      </c>
      <c r="D866" t="s">
        <v>2104</v>
      </c>
      <c r="E866" t="s">
        <v>297</v>
      </c>
      <c r="F866" t="s">
        <v>2105</v>
      </c>
      <c r="G866" s="1">
        <v>42702</v>
      </c>
      <c r="I866" t="s">
        <v>199</v>
      </c>
      <c r="J866" t="s">
        <v>200</v>
      </c>
      <c r="K866" t="s">
        <v>201</v>
      </c>
      <c r="Q866" t="s">
        <v>212</v>
      </c>
      <c r="R866" t="str">
        <f>"КАЗАХСТАН, АКМОЛИНСКАЯ, СТЕПНОГОРСК, 7"</f>
        <v>КАЗАХСТАН, АКМОЛИНСКАЯ, СТЕПНОГОРСК, 7</v>
      </c>
      <c r="S866" t="str">
        <f>"ҚАЗАҚСТАН, АҚМОЛА, СТЕПНОГОР, 7"</f>
        <v>ҚАЗАҚСТАН, АҚМОЛА, СТЕПНОГОР, 7</v>
      </c>
      <c r="T866" t="str">
        <f>"7"</f>
        <v>7</v>
      </c>
      <c r="U866" t="str">
        <f>"7"</f>
        <v>7</v>
      </c>
      <c r="AC866" t="str">
        <f t="shared" ref="AC866:AC878" si="48">"2023-08-25T00:00:00"</f>
        <v>2023-08-25T00:00:00</v>
      </c>
      <c r="AD866" t="str">
        <f>"201"</f>
        <v>201</v>
      </c>
      <c r="AG866" t="s">
        <v>202</v>
      </c>
      <c r="AI866" t="s">
        <v>299</v>
      </c>
      <c r="AJ866" t="s">
        <v>660</v>
      </c>
      <c r="AK866" t="s">
        <v>261</v>
      </c>
      <c r="AL866" t="s">
        <v>206</v>
      </c>
      <c r="AN866" t="s">
        <v>207</v>
      </c>
      <c r="AO866">
        <v>1</v>
      </c>
      <c r="AP866" t="s">
        <v>208</v>
      </c>
      <c r="AQ866" t="s">
        <v>209</v>
      </c>
      <c r="AR866" t="s">
        <v>502</v>
      </c>
      <c r="AW866" t="s">
        <v>212</v>
      </c>
      <c r="AZ866" t="s">
        <v>209</v>
      </c>
      <c r="BI866" t="s">
        <v>212</v>
      </c>
      <c r="BJ866" t="s">
        <v>213</v>
      </c>
      <c r="BK866" t="s">
        <v>214</v>
      </c>
      <c r="BL866" t="s">
        <v>357</v>
      </c>
      <c r="BN866" t="s">
        <v>661</v>
      </c>
      <c r="BO866" t="s">
        <v>209</v>
      </c>
      <c r="BS866" t="s">
        <v>220</v>
      </c>
      <c r="BU866" t="s">
        <v>212</v>
      </c>
      <c r="BZ866" t="s">
        <v>662</v>
      </c>
      <c r="CA866" t="s">
        <v>287</v>
      </c>
      <c r="CC866" t="s">
        <v>209</v>
      </c>
      <c r="CE866" t="s">
        <v>242</v>
      </c>
      <c r="CJ866" t="s">
        <v>206</v>
      </c>
      <c r="CK866" t="s">
        <v>230</v>
      </c>
      <c r="CL866" t="s">
        <v>231</v>
      </c>
      <c r="CM866" t="s">
        <v>232</v>
      </c>
      <c r="CN866" t="s">
        <v>233</v>
      </c>
      <c r="CP866" t="s">
        <v>212</v>
      </c>
      <c r="CQ866" t="s">
        <v>212</v>
      </c>
      <c r="CR866" t="s">
        <v>212</v>
      </c>
      <c r="CS866" t="s">
        <v>212</v>
      </c>
      <c r="CY866" t="s">
        <v>212</v>
      </c>
      <c r="DB866" t="s">
        <v>234</v>
      </c>
      <c r="DE866" t="s">
        <v>212</v>
      </c>
      <c r="DF866" t="s">
        <v>212</v>
      </c>
      <c r="DG866" t="s">
        <v>235</v>
      </c>
      <c r="DH866" t="s">
        <v>212</v>
      </c>
      <c r="DJ866" t="s">
        <v>236</v>
      </c>
      <c r="DM866" t="s">
        <v>206</v>
      </c>
    </row>
    <row r="867" spans="1:117" x14ac:dyDescent="0.3">
      <c r="A867">
        <v>25953824</v>
      </c>
      <c r="B867">
        <v>7300988</v>
      </c>
      <c r="C867" t="str">
        <f>"171105603308"</f>
        <v>171105603308</v>
      </c>
      <c r="D867" t="s">
        <v>2106</v>
      </c>
      <c r="E867" t="s">
        <v>677</v>
      </c>
      <c r="F867" t="s">
        <v>2107</v>
      </c>
      <c r="G867" s="1">
        <v>43044</v>
      </c>
      <c r="I867" t="s">
        <v>199</v>
      </c>
      <c r="J867" t="s">
        <v>200</v>
      </c>
      <c r="K867" t="s">
        <v>201</v>
      </c>
      <c r="Q867" t="s">
        <v>212</v>
      </c>
      <c r="R867" t="str">
        <f>"КАЗАХСТАН, АКМОЛИНСКАЯ, СТЕПНОГОРСК, 39, 21"</f>
        <v>КАЗАХСТАН, АКМОЛИНСКАЯ, СТЕПНОГОРСК, 39, 21</v>
      </c>
      <c r="S867" t="str">
        <f>"ҚАЗАҚСТАН, АҚМОЛА, СТЕПНОГОР, 39, 21"</f>
        <v>ҚАЗАҚСТАН, АҚМОЛА, СТЕПНОГОР, 39, 21</v>
      </c>
      <c r="T867" t="str">
        <f>"39, 21"</f>
        <v>39, 21</v>
      </c>
      <c r="U867" t="str">
        <f>"39, 21"</f>
        <v>39, 21</v>
      </c>
      <c r="AC867" t="str">
        <f t="shared" si="48"/>
        <v>2023-08-25T00:00:00</v>
      </c>
      <c r="AD867" t="str">
        <f t="shared" ref="AD867:AD877" si="49">"202"</f>
        <v>202</v>
      </c>
      <c r="AG867" t="s">
        <v>202</v>
      </c>
      <c r="AI867" t="s">
        <v>299</v>
      </c>
      <c r="AJ867" t="s">
        <v>1298</v>
      </c>
      <c r="AK867" t="s">
        <v>253</v>
      </c>
      <c r="AL867" t="s">
        <v>206</v>
      </c>
      <c r="AN867" t="s">
        <v>254</v>
      </c>
      <c r="AO867">
        <v>2</v>
      </c>
      <c r="AP867" t="s">
        <v>208</v>
      </c>
      <c r="AQ867" t="s">
        <v>209</v>
      </c>
      <c r="AR867" t="s">
        <v>502</v>
      </c>
      <c r="AW867" t="s">
        <v>212</v>
      </c>
      <c r="AZ867" t="s">
        <v>209</v>
      </c>
      <c r="BI867" t="s">
        <v>212</v>
      </c>
      <c r="BJ867" t="s">
        <v>213</v>
      </c>
      <c r="BK867" t="s">
        <v>214</v>
      </c>
      <c r="BL867" t="s">
        <v>215</v>
      </c>
      <c r="BN867" t="s">
        <v>661</v>
      </c>
      <c r="BO867" t="s">
        <v>209</v>
      </c>
      <c r="BS867" t="s">
        <v>220</v>
      </c>
      <c r="CA867" t="s">
        <v>287</v>
      </c>
      <c r="CC867" t="s">
        <v>209</v>
      </c>
      <c r="CE867" t="s">
        <v>242</v>
      </c>
      <c r="CJ867" t="s">
        <v>206</v>
      </c>
      <c r="CK867" t="s">
        <v>230</v>
      </c>
      <c r="CL867" t="s">
        <v>231</v>
      </c>
      <c r="CM867" t="s">
        <v>232</v>
      </c>
      <c r="CN867" t="s">
        <v>233</v>
      </c>
      <c r="CP867" t="s">
        <v>212</v>
      </c>
      <c r="CQ867" t="s">
        <v>212</v>
      </c>
      <c r="CR867" t="s">
        <v>212</v>
      </c>
      <c r="CS867" t="s">
        <v>212</v>
      </c>
      <c r="CY867" t="s">
        <v>212</v>
      </c>
      <c r="DB867" t="s">
        <v>234</v>
      </c>
      <c r="DE867" t="s">
        <v>212</v>
      </c>
      <c r="DF867" t="s">
        <v>212</v>
      </c>
      <c r="DG867" t="s">
        <v>235</v>
      </c>
      <c r="DH867" t="s">
        <v>212</v>
      </c>
      <c r="DJ867" t="s">
        <v>236</v>
      </c>
      <c r="DM867" t="s">
        <v>212</v>
      </c>
    </row>
    <row r="868" spans="1:117" x14ac:dyDescent="0.3">
      <c r="A868">
        <v>25953929</v>
      </c>
      <c r="B868">
        <v>11365561</v>
      </c>
      <c r="C868" t="str">
        <f>"180303602890"</f>
        <v>180303602890</v>
      </c>
      <c r="D868" t="s">
        <v>1895</v>
      </c>
      <c r="E868" t="s">
        <v>2108</v>
      </c>
      <c r="F868" t="s">
        <v>2109</v>
      </c>
      <c r="G868" s="1">
        <v>43162</v>
      </c>
      <c r="I868" t="s">
        <v>199</v>
      </c>
      <c r="J868" t="s">
        <v>200</v>
      </c>
      <c r="K868" t="s">
        <v>201</v>
      </c>
      <c r="Q868" t="s">
        <v>212</v>
      </c>
      <c r="R868" t="str">
        <f>"КАЗАХСТАН, АКМОЛИНСКАЯ, СТЕПНОГОРСК, 69, 33"</f>
        <v>КАЗАХСТАН, АКМОЛИНСКАЯ, СТЕПНОГОРСК, 69, 33</v>
      </c>
      <c r="S868" t="str">
        <f>"ҚАЗАҚСТАН, АҚМОЛА, СТЕПНОГОР, 69, 33"</f>
        <v>ҚАЗАҚСТАН, АҚМОЛА, СТЕПНОГОР, 69, 33</v>
      </c>
      <c r="T868" t="str">
        <f>"69, 33"</f>
        <v>69, 33</v>
      </c>
      <c r="U868" t="str">
        <f>"69, 33"</f>
        <v>69, 33</v>
      </c>
      <c r="AC868" t="str">
        <f t="shared" si="48"/>
        <v>2023-08-25T00:00:00</v>
      </c>
      <c r="AD868" t="str">
        <f t="shared" si="49"/>
        <v>202</v>
      </c>
      <c r="AG868" t="s">
        <v>202</v>
      </c>
      <c r="AI868" t="s">
        <v>274</v>
      </c>
      <c r="AJ868" t="s">
        <v>1298</v>
      </c>
      <c r="AK868" t="s">
        <v>253</v>
      </c>
      <c r="AL868" t="s">
        <v>206</v>
      </c>
      <c r="AN868" t="s">
        <v>254</v>
      </c>
      <c r="AO868">
        <v>2</v>
      </c>
      <c r="AP868" t="s">
        <v>208</v>
      </c>
      <c r="AQ868" t="s">
        <v>209</v>
      </c>
      <c r="AR868" t="s">
        <v>502</v>
      </c>
      <c r="AW868" t="s">
        <v>212</v>
      </c>
      <c r="AZ868" t="s">
        <v>209</v>
      </c>
      <c r="BI868" t="s">
        <v>212</v>
      </c>
      <c r="BJ868" t="s">
        <v>213</v>
      </c>
      <c r="BK868" t="s">
        <v>214</v>
      </c>
      <c r="BL868" t="s">
        <v>215</v>
      </c>
      <c r="BN868" t="s">
        <v>661</v>
      </c>
      <c r="BO868" t="s">
        <v>209</v>
      </c>
      <c r="BS868" t="s">
        <v>220</v>
      </c>
      <c r="CA868" t="s">
        <v>287</v>
      </c>
      <c r="CC868" t="s">
        <v>209</v>
      </c>
      <c r="CE868" t="s">
        <v>242</v>
      </c>
      <c r="CJ868" t="s">
        <v>206</v>
      </c>
      <c r="CK868" t="s">
        <v>230</v>
      </c>
      <c r="CL868" t="s">
        <v>231</v>
      </c>
      <c r="CM868" t="s">
        <v>232</v>
      </c>
      <c r="CN868" t="s">
        <v>233</v>
      </c>
      <c r="CP868" t="s">
        <v>212</v>
      </c>
      <c r="CQ868" t="s">
        <v>212</v>
      </c>
      <c r="CR868" t="s">
        <v>212</v>
      </c>
      <c r="CS868" t="s">
        <v>212</v>
      </c>
      <c r="CY868" t="s">
        <v>212</v>
      </c>
      <c r="DB868" t="s">
        <v>234</v>
      </c>
      <c r="DE868" t="s">
        <v>212</v>
      </c>
      <c r="DF868" t="s">
        <v>212</v>
      </c>
      <c r="DG868" t="s">
        <v>235</v>
      </c>
      <c r="DH868" t="s">
        <v>212</v>
      </c>
      <c r="DJ868" t="s">
        <v>236</v>
      </c>
      <c r="DM868" t="s">
        <v>212</v>
      </c>
    </row>
    <row r="869" spans="1:117" x14ac:dyDescent="0.3">
      <c r="A869">
        <v>25954047</v>
      </c>
      <c r="B869">
        <v>12319463</v>
      </c>
      <c r="C869" t="str">
        <f>"180306505181"</f>
        <v>180306505181</v>
      </c>
      <c r="D869" t="s">
        <v>575</v>
      </c>
      <c r="E869" t="s">
        <v>2110</v>
      </c>
      <c r="F869" t="s">
        <v>577</v>
      </c>
      <c r="G869" s="1">
        <v>43165</v>
      </c>
      <c r="I869" t="s">
        <v>240</v>
      </c>
      <c r="J869" t="s">
        <v>200</v>
      </c>
      <c r="K869" t="s">
        <v>201</v>
      </c>
      <c r="Q869" t="s">
        <v>212</v>
      </c>
      <c r="R869" t="str">
        <f>"КАЗАХСТАН, АКМОЛИНСКАЯ, СТЕПНОГОРСК, 36, 41"</f>
        <v>КАЗАХСТАН, АКМОЛИНСКАЯ, СТЕПНОГОРСК, 36, 41</v>
      </c>
      <c r="S869" t="str">
        <f>"ҚАЗАҚСТАН, АҚМОЛА, СТЕПНОГОР, 36, 41"</f>
        <v>ҚАЗАҚСТАН, АҚМОЛА, СТЕПНОГОР, 36, 41</v>
      </c>
      <c r="T869" t="str">
        <f>"36, 41"</f>
        <v>36, 41</v>
      </c>
      <c r="U869" t="str">
        <f>"36, 41"</f>
        <v>36, 41</v>
      </c>
      <c r="AC869" t="str">
        <f t="shared" si="48"/>
        <v>2023-08-25T00:00:00</v>
      </c>
      <c r="AD869" t="str">
        <f t="shared" si="49"/>
        <v>202</v>
      </c>
      <c r="AG869" t="s">
        <v>202</v>
      </c>
      <c r="AI869" t="s">
        <v>299</v>
      </c>
      <c r="AJ869" t="s">
        <v>1298</v>
      </c>
      <c r="AK869" t="s">
        <v>253</v>
      </c>
      <c r="AL869" t="s">
        <v>206</v>
      </c>
      <c r="AN869" t="s">
        <v>254</v>
      </c>
      <c r="AO869">
        <v>2</v>
      </c>
      <c r="AP869" t="s">
        <v>208</v>
      </c>
      <c r="AQ869" t="s">
        <v>209</v>
      </c>
      <c r="AR869" t="s">
        <v>502</v>
      </c>
      <c r="AW869" t="s">
        <v>212</v>
      </c>
      <c r="AZ869" t="s">
        <v>209</v>
      </c>
      <c r="BI869" t="s">
        <v>212</v>
      </c>
      <c r="BJ869" t="s">
        <v>213</v>
      </c>
      <c r="BK869" t="s">
        <v>214</v>
      </c>
      <c r="BL869" t="s">
        <v>215</v>
      </c>
      <c r="BN869" t="s">
        <v>661</v>
      </c>
      <c r="BO869" t="s">
        <v>209</v>
      </c>
      <c r="BS869" t="s">
        <v>220</v>
      </c>
      <c r="CA869" t="s">
        <v>287</v>
      </c>
      <c r="CC869" t="s">
        <v>209</v>
      </c>
      <c r="CE869" t="s">
        <v>242</v>
      </c>
      <c r="CJ869" t="s">
        <v>206</v>
      </c>
      <c r="CK869" t="s">
        <v>230</v>
      </c>
      <c r="CL869" t="s">
        <v>231</v>
      </c>
      <c r="CM869" t="s">
        <v>232</v>
      </c>
      <c r="CN869" t="s">
        <v>233</v>
      </c>
      <c r="CP869" t="s">
        <v>212</v>
      </c>
      <c r="CQ869" t="s">
        <v>212</v>
      </c>
      <c r="CR869" t="s">
        <v>212</v>
      </c>
      <c r="CS869" t="s">
        <v>212</v>
      </c>
      <c r="CY869" t="s">
        <v>212</v>
      </c>
      <c r="DB869" t="s">
        <v>234</v>
      </c>
      <c r="DE869" t="s">
        <v>212</v>
      </c>
      <c r="DF869" t="s">
        <v>212</v>
      </c>
      <c r="DG869" t="s">
        <v>235</v>
      </c>
      <c r="DH869" t="s">
        <v>212</v>
      </c>
      <c r="DJ869" t="s">
        <v>421</v>
      </c>
      <c r="DK869" t="s">
        <v>707</v>
      </c>
      <c r="DL869" t="s">
        <v>423</v>
      </c>
      <c r="DM869" t="s">
        <v>206</v>
      </c>
    </row>
    <row r="870" spans="1:117" x14ac:dyDescent="0.3">
      <c r="A870">
        <v>25954122</v>
      </c>
      <c r="B870">
        <v>10558233</v>
      </c>
      <c r="C870" t="str">
        <f>"170508504229"</f>
        <v>170508504229</v>
      </c>
      <c r="D870" t="s">
        <v>2111</v>
      </c>
      <c r="E870" t="s">
        <v>2112</v>
      </c>
      <c r="F870" t="s">
        <v>2113</v>
      </c>
      <c r="G870" s="1">
        <v>42863</v>
      </c>
      <c r="I870" t="s">
        <v>240</v>
      </c>
      <c r="J870" t="s">
        <v>200</v>
      </c>
      <c r="K870" t="s">
        <v>201</v>
      </c>
      <c r="Q870" t="s">
        <v>212</v>
      </c>
      <c r="R870" t="str">
        <f>"КАЗАХСТАН, АКМОЛИНСКАЯ, СТЕПНОГОРСК, Бестобе, 36"</f>
        <v>КАЗАХСТАН, АКМОЛИНСКАЯ, СТЕПНОГОРСК, Бестобе, 36</v>
      </c>
      <c r="S870" t="str">
        <f>"ҚАЗАҚСТАН, АҚМОЛА, СТЕПНОГОР, Бестобе, 36"</f>
        <v>ҚАЗАҚСТАН, АҚМОЛА, СТЕПНОГОР, Бестобе, 36</v>
      </c>
      <c r="T870" t="str">
        <f>"Бестобе, 36"</f>
        <v>Бестобе, 36</v>
      </c>
      <c r="U870" t="str">
        <f>"Бестобе, 36"</f>
        <v>Бестобе, 36</v>
      </c>
      <c r="AC870" t="str">
        <f t="shared" si="48"/>
        <v>2023-08-25T00:00:00</v>
      </c>
      <c r="AD870" t="str">
        <f t="shared" si="49"/>
        <v>202</v>
      </c>
      <c r="AG870" t="s">
        <v>202</v>
      </c>
      <c r="AI870" t="s">
        <v>274</v>
      </c>
      <c r="AJ870" t="s">
        <v>1298</v>
      </c>
      <c r="AK870" t="s">
        <v>253</v>
      </c>
      <c r="AL870" t="s">
        <v>206</v>
      </c>
      <c r="AN870" t="s">
        <v>254</v>
      </c>
      <c r="AO870">
        <v>2</v>
      </c>
      <c r="AP870" t="s">
        <v>208</v>
      </c>
      <c r="AQ870" t="s">
        <v>209</v>
      </c>
      <c r="AR870" t="s">
        <v>502</v>
      </c>
      <c r="AW870" t="s">
        <v>212</v>
      </c>
      <c r="AZ870" t="s">
        <v>209</v>
      </c>
      <c r="BI870" t="s">
        <v>212</v>
      </c>
      <c r="BJ870" t="s">
        <v>213</v>
      </c>
      <c r="BK870" t="s">
        <v>214</v>
      </c>
      <c r="BL870" t="s">
        <v>215</v>
      </c>
      <c r="BN870" t="s">
        <v>661</v>
      </c>
      <c r="BO870" t="s">
        <v>209</v>
      </c>
      <c r="BS870" t="s">
        <v>220</v>
      </c>
      <c r="CA870" t="s">
        <v>287</v>
      </c>
      <c r="CC870" t="s">
        <v>209</v>
      </c>
      <c r="CE870" t="s">
        <v>242</v>
      </c>
      <c r="CJ870" t="s">
        <v>206</v>
      </c>
      <c r="CK870" t="s">
        <v>230</v>
      </c>
      <c r="CL870" t="s">
        <v>231</v>
      </c>
      <c r="CM870" t="s">
        <v>232</v>
      </c>
      <c r="CN870" t="s">
        <v>233</v>
      </c>
      <c r="CP870" t="s">
        <v>212</v>
      </c>
      <c r="CQ870" t="s">
        <v>212</v>
      </c>
      <c r="CR870" t="s">
        <v>212</v>
      </c>
      <c r="CS870" t="s">
        <v>212</v>
      </c>
      <c r="CY870" t="s">
        <v>212</v>
      </c>
      <c r="DB870" t="s">
        <v>234</v>
      </c>
      <c r="DE870" t="s">
        <v>212</v>
      </c>
      <c r="DF870" t="s">
        <v>212</v>
      </c>
      <c r="DG870" t="s">
        <v>235</v>
      </c>
      <c r="DH870" t="s">
        <v>212</v>
      </c>
      <c r="DJ870" t="s">
        <v>236</v>
      </c>
      <c r="DM870" t="s">
        <v>212</v>
      </c>
    </row>
    <row r="871" spans="1:117" x14ac:dyDescent="0.3">
      <c r="A871">
        <v>25954361</v>
      </c>
      <c r="B871">
        <v>13390582</v>
      </c>
      <c r="C871" t="str">
        <f>"180817600511"</f>
        <v>180817600511</v>
      </c>
      <c r="D871" t="s">
        <v>937</v>
      </c>
      <c r="E871" t="s">
        <v>2114</v>
      </c>
      <c r="F871" t="s">
        <v>939</v>
      </c>
      <c r="G871" s="1">
        <v>43329</v>
      </c>
      <c r="I871" t="s">
        <v>199</v>
      </c>
      <c r="J871" t="s">
        <v>200</v>
      </c>
      <c r="K871" t="s">
        <v>201</v>
      </c>
      <c r="Q871" t="s">
        <v>212</v>
      </c>
      <c r="R871" t="str">
        <f>"КАЗАХСТАН, АКМОЛИНСКАЯ, СТЕПНОГОРСК, Бестобе, 15, 1"</f>
        <v>КАЗАХСТАН, АКМОЛИНСКАЯ, СТЕПНОГОРСК, Бестобе, 15, 1</v>
      </c>
      <c r="S871" t="str">
        <f>"ҚАЗАҚСТАН, АҚМОЛА, СТЕПНОГОР, Бестобе, 15, 1"</f>
        <v>ҚАЗАҚСТАН, АҚМОЛА, СТЕПНОГОР, Бестобе, 15, 1</v>
      </c>
      <c r="T871" t="str">
        <f>"Бестобе, 15, 1"</f>
        <v>Бестобе, 15, 1</v>
      </c>
      <c r="U871" t="str">
        <f>"Бестобе, 15, 1"</f>
        <v>Бестобе, 15, 1</v>
      </c>
      <c r="AC871" t="str">
        <f t="shared" si="48"/>
        <v>2023-08-25T00:00:00</v>
      </c>
      <c r="AD871" t="str">
        <f t="shared" si="49"/>
        <v>202</v>
      </c>
      <c r="AG871" t="s">
        <v>202</v>
      </c>
      <c r="AI871" t="s">
        <v>299</v>
      </c>
      <c r="AJ871" t="s">
        <v>1298</v>
      </c>
      <c r="AK871" t="s">
        <v>253</v>
      </c>
      <c r="AL871" t="s">
        <v>206</v>
      </c>
      <c r="AN871" t="s">
        <v>254</v>
      </c>
      <c r="AO871">
        <v>2</v>
      </c>
      <c r="AP871" t="s">
        <v>208</v>
      </c>
      <c r="AQ871" t="s">
        <v>209</v>
      </c>
      <c r="AR871" t="s">
        <v>502</v>
      </c>
      <c r="AW871" t="s">
        <v>212</v>
      </c>
      <c r="AZ871" t="s">
        <v>209</v>
      </c>
      <c r="BI871" t="s">
        <v>212</v>
      </c>
      <c r="BJ871" t="s">
        <v>213</v>
      </c>
      <c r="BK871" t="s">
        <v>214</v>
      </c>
      <c r="BL871" t="s">
        <v>215</v>
      </c>
      <c r="BN871" t="s">
        <v>661</v>
      </c>
      <c r="BO871" t="s">
        <v>209</v>
      </c>
      <c r="BS871" t="s">
        <v>220</v>
      </c>
      <c r="CA871" t="s">
        <v>287</v>
      </c>
      <c r="CC871" t="s">
        <v>209</v>
      </c>
      <c r="CE871" t="s">
        <v>242</v>
      </c>
      <c r="CJ871" t="s">
        <v>206</v>
      </c>
      <c r="CK871" t="s">
        <v>230</v>
      </c>
      <c r="CL871" t="s">
        <v>231</v>
      </c>
      <c r="CM871" t="s">
        <v>232</v>
      </c>
      <c r="CN871" t="s">
        <v>233</v>
      </c>
      <c r="CP871" t="s">
        <v>212</v>
      </c>
      <c r="CQ871" t="s">
        <v>212</v>
      </c>
      <c r="CR871" t="s">
        <v>212</v>
      </c>
      <c r="CS871" t="s">
        <v>212</v>
      </c>
      <c r="CY871" t="s">
        <v>212</v>
      </c>
      <c r="DB871" t="s">
        <v>234</v>
      </c>
      <c r="DE871" t="s">
        <v>212</v>
      </c>
      <c r="DF871" t="s">
        <v>212</v>
      </c>
      <c r="DG871" t="s">
        <v>235</v>
      </c>
      <c r="DH871" t="s">
        <v>212</v>
      </c>
      <c r="DJ871" t="s">
        <v>236</v>
      </c>
      <c r="DM871" t="s">
        <v>212</v>
      </c>
    </row>
    <row r="872" spans="1:117" x14ac:dyDescent="0.3">
      <c r="A872">
        <v>25954578</v>
      </c>
      <c r="B872">
        <v>13390614</v>
      </c>
      <c r="C872" t="str">
        <f>"171015602846"</f>
        <v>171015602846</v>
      </c>
      <c r="D872" t="s">
        <v>686</v>
      </c>
      <c r="E872" t="s">
        <v>2115</v>
      </c>
      <c r="F872" t="s">
        <v>618</v>
      </c>
      <c r="G872" s="1">
        <v>43023</v>
      </c>
      <c r="I872" t="s">
        <v>199</v>
      </c>
      <c r="J872" t="s">
        <v>200</v>
      </c>
      <c r="K872" t="s">
        <v>201</v>
      </c>
      <c r="Q872" t="s">
        <v>212</v>
      </c>
      <c r="R872" t="str">
        <f>"КАЗАХСТАН, АКМОЛИНСКАЯ, СТЕПНОГОРСК, 24, 38"</f>
        <v>КАЗАХСТАН, АКМОЛИНСКАЯ, СТЕПНОГОРСК, 24, 38</v>
      </c>
      <c r="S872" t="str">
        <f>"ҚАЗАҚСТАН, АҚМОЛА, СТЕПНОГОР, 24, 38"</f>
        <v>ҚАЗАҚСТАН, АҚМОЛА, СТЕПНОГОР, 24, 38</v>
      </c>
      <c r="T872" t="str">
        <f>"24, 38"</f>
        <v>24, 38</v>
      </c>
      <c r="U872" t="str">
        <f>"24, 38"</f>
        <v>24, 38</v>
      </c>
      <c r="AC872" t="str">
        <f t="shared" si="48"/>
        <v>2023-08-25T00:00:00</v>
      </c>
      <c r="AD872" t="str">
        <f t="shared" si="49"/>
        <v>202</v>
      </c>
      <c r="AG872" t="s">
        <v>202</v>
      </c>
      <c r="AI872" t="s">
        <v>299</v>
      </c>
      <c r="AJ872" t="s">
        <v>1298</v>
      </c>
      <c r="AK872" t="s">
        <v>253</v>
      </c>
      <c r="AL872" t="s">
        <v>206</v>
      </c>
      <c r="AN872" t="s">
        <v>254</v>
      </c>
      <c r="AO872">
        <v>2</v>
      </c>
      <c r="AP872" t="s">
        <v>208</v>
      </c>
      <c r="AQ872" t="s">
        <v>209</v>
      </c>
      <c r="AR872" t="s">
        <v>502</v>
      </c>
      <c r="AW872" t="s">
        <v>212</v>
      </c>
      <c r="AZ872" t="s">
        <v>209</v>
      </c>
      <c r="BI872" t="s">
        <v>212</v>
      </c>
      <c r="BJ872" t="s">
        <v>213</v>
      </c>
      <c r="BK872" t="s">
        <v>214</v>
      </c>
      <c r="BL872" t="s">
        <v>215</v>
      </c>
      <c r="BN872" t="s">
        <v>661</v>
      </c>
      <c r="BO872" t="s">
        <v>209</v>
      </c>
      <c r="BS872" t="s">
        <v>220</v>
      </c>
      <c r="CA872" t="s">
        <v>287</v>
      </c>
      <c r="CC872" t="s">
        <v>209</v>
      </c>
      <c r="CE872" t="s">
        <v>242</v>
      </c>
      <c r="CJ872" t="s">
        <v>206</v>
      </c>
      <c r="CK872" t="s">
        <v>230</v>
      </c>
      <c r="CL872" t="s">
        <v>231</v>
      </c>
      <c r="CM872" t="s">
        <v>232</v>
      </c>
      <c r="CN872" t="s">
        <v>233</v>
      </c>
      <c r="CP872" t="s">
        <v>212</v>
      </c>
      <c r="CQ872" t="s">
        <v>212</v>
      </c>
      <c r="CR872" t="s">
        <v>212</v>
      </c>
      <c r="CS872" t="s">
        <v>212</v>
      </c>
      <c r="CY872" t="s">
        <v>212</v>
      </c>
      <c r="DB872" t="s">
        <v>234</v>
      </c>
      <c r="DE872" t="s">
        <v>212</v>
      </c>
      <c r="DF872" t="s">
        <v>212</v>
      </c>
      <c r="DG872" t="s">
        <v>235</v>
      </c>
      <c r="DH872" t="s">
        <v>212</v>
      </c>
      <c r="DJ872" t="s">
        <v>236</v>
      </c>
      <c r="DM872" t="s">
        <v>212</v>
      </c>
    </row>
    <row r="873" spans="1:117" x14ac:dyDescent="0.3">
      <c r="A873">
        <v>25954678</v>
      </c>
      <c r="B873">
        <v>11087859</v>
      </c>
      <c r="C873" t="str">
        <f>"180912501480"</f>
        <v>180912501480</v>
      </c>
      <c r="D873" t="s">
        <v>2116</v>
      </c>
      <c r="E873" t="s">
        <v>2117</v>
      </c>
      <c r="F873" t="s">
        <v>2118</v>
      </c>
      <c r="G873" s="1">
        <v>43355</v>
      </c>
      <c r="I873" t="s">
        <v>240</v>
      </c>
      <c r="J873" t="s">
        <v>200</v>
      </c>
      <c r="K873" t="s">
        <v>201</v>
      </c>
      <c r="Q873" t="s">
        <v>212</v>
      </c>
      <c r="R873" t="str">
        <f>"КАЗАХСТАН, АКМОЛИНСКАЯ, СТЕПНОГОРСК, Бестобе, 10, 1"</f>
        <v>КАЗАХСТАН, АКМОЛИНСКАЯ, СТЕПНОГОРСК, Бестобе, 10, 1</v>
      </c>
      <c r="S873" t="str">
        <f>"ҚАЗАҚСТАН, АҚМОЛА, СТЕПНОГОР, Бестобе, 10, 1"</f>
        <v>ҚАЗАҚСТАН, АҚМОЛА, СТЕПНОГОР, Бестобе, 10, 1</v>
      </c>
      <c r="T873" t="str">
        <f>"Бестобе, 10, 1"</f>
        <v>Бестобе, 10, 1</v>
      </c>
      <c r="U873" t="str">
        <f>"Бестобе, 10, 1"</f>
        <v>Бестобе, 10, 1</v>
      </c>
      <c r="AC873" t="str">
        <f t="shared" si="48"/>
        <v>2023-08-25T00:00:00</v>
      </c>
      <c r="AD873" t="str">
        <f t="shared" si="49"/>
        <v>202</v>
      </c>
      <c r="AG873" t="s">
        <v>202</v>
      </c>
      <c r="AI873" t="s">
        <v>274</v>
      </c>
      <c r="AJ873" t="s">
        <v>1298</v>
      </c>
      <c r="AK873" t="s">
        <v>253</v>
      </c>
      <c r="AL873" t="s">
        <v>206</v>
      </c>
      <c r="AN873" t="s">
        <v>254</v>
      </c>
      <c r="AO873">
        <v>2</v>
      </c>
      <c r="AP873" t="s">
        <v>208</v>
      </c>
      <c r="AQ873" t="s">
        <v>209</v>
      </c>
      <c r="AR873" t="s">
        <v>502</v>
      </c>
      <c r="AW873" t="s">
        <v>212</v>
      </c>
      <c r="AZ873" t="s">
        <v>209</v>
      </c>
      <c r="BI873" t="s">
        <v>212</v>
      </c>
      <c r="BJ873" t="s">
        <v>213</v>
      </c>
      <c r="BK873" t="s">
        <v>214</v>
      </c>
      <c r="BL873" t="s">
        <v>215</v>
      </c>
      <c r="BN873" t="s">
        <v>661</v>
      </c>
      <c r="BO873" t="s">
        <v>209</v>
      </c>
      <c r="BS873" t="s">
        <v>220</v>
      </c>
      <c r="CA873" t="s">
        <v>287</v>
      </c>
      <c r="CC873" t="s">
        <v>209</v>
      </c>
      <c r="CE873" t="s">
        <v>242</v>
      </c>
      <c r="CJ873" t="s">
        <v>206</v>
      </c>
      <c r="CK873" t="s">
        <v>230</v>
      </c>
      <c r="CL873" t="s">
        <v>231</v>
      </c>
      <c r="CM873" t="s">
        <v>232</v>
      </c>
      <c r="CN873" t="s">
        <v>233</v>
      </c>
      <c r="CP873" t="s">
        <v>212</v>
      </c>
      <c r="CQ873" t="s">
        <v>212</v>
      </c>
      <c r="CR873" t="s">
        <v>212</v>
      </c>
      <c r="CS873" t="s">
        <v>212</v>
      </c>
      <c r="CY873" t="s">
        <v>212</v>
      </c>
      <c r="DB873" t="s">
        <v>234</v>
      </c>
      <c r="DE873" t="s">
        <v>212</v>
      </c>
      <c r="DF873" t="s">
        <v>212</v>
      </c>
      <c r="DG873" t="s">
        <v>235</v>
      </c>
      <c r="DH873" t="s">
        <v>212</v>
      </c>
      <c r="DJ873" t="s">
        <v>236</v>
      </c>
      <c r="DM873" t="s">
        <v>206</v>
      </c>
    </row>
    <row r="874" spans="1:117" x14ac:dyDescent="0.3">
      <c r="A874">
        <v>25954720</v>
      </c>
      <c r="B874">
        <v>11433189</v>
      </c>
      <c r="C874" t="str">
        <f>"180429600413"</f>
        <v>180429600413</v>
      </c>
      <c r="D874" t="s">
        <v>590</v>
      </c>
      <c r="E874" t="s">
        <v>617</v>
      </c>
      <c r="F874" t="s">
        <v>2119</v>
      </c>
      <c r="G874" s="1">
        <v>43219</v>
      </c>
      <c r="I874" t="s">
        <v>199</v>
      </c>
      <c r="J874" t="s">
        <v>200</v>
      </c>
      <c r="K874" t="s">
        <v>201</v>
      </c>
      <c r="Q874" t="s">
        <v>212</v>
      </c>
      <c r="R874" t="str">
        <f>"КАЗАХСТАН, АКМОЛИНСКАЯ, СТЕПНОГОРСК, 20, 53"</f>
        <v>КАЗАХСТАН, АКМОЛИНСКАЯ, СТЕПНОГОРСК, 20, 53</v>
      </c>
      <c r="S874" t="str">
        <f>"ҚАЗАҚСТАН, АҚМОЛА, СТЕПНОГОР, 20, 53"</f>
        <v>ҚАЗАҚСТАН, АҚМОЛА, СТЕПНОГОР, 20, 53</v>
      </c>
      <c r="T874" t="str">
        <f>"20, 53"</f>
        <v>20, 53</v>
      </c>
      <c r="U874" t="str">
        <f>"20, 53"</f>
        <v>20, 53</v>
      </c>
      <c r="AC874" t="str">
        <f t="shared" si="48"/>
        <v>2023-08-25T00:00:00</v>
      </c>
      <c r="AD874" t="str">
        <f t="shared" si="49"/>
        <v>202</v>
      </c>
      <c r="AG874" t="s">
        <v>202</v>
      </c>
      <c r="AI874" t="s">
        <v>299</v>
      </c>
      <c r="AJ874" t="s">
        <v>1298</v>
      </c>
      <c r="AK874" t="s">
        <v>253</v>
      </c>
      <c r="AL874" t="s">
        <v>206</v>
      </c>
      <c r="AN874" t="s">
        <v>254</v>
      </c>
      <c r="AO874">
        <v>2</v>
      </c>
      <c r="AP874" t="s">
        <v>208</v>
      </c>
      <c r="AQ874" t="s">
        <v>209</v>
      </c>
      <c r="AR874" t="s">
        <v>502</v>
      </c>
      <c r="AW874" t="s">
        <v>212</v>
      </c>
      <c r="AZ874" t="s">
        <v>209</v>
      </c>
      <c r="BI874" t="s">
        <v>212</v>
      </c>
      <c r="BJ874" t="s">
        <v>213</v>
      </c>
      <c r="BK874" t="s">
        <v>214</v>
      </c>
      <c r="BL874" t="s">
        <v>215</v>
      </c>
      <c r="BN874" t="s">
        <v>661</v>
      </c>
      <c r="BO874" t="s">
        <v>209</v>
      </c>
      <c r="BS874" t="s">
        <v>220</v>
      </c>
      <c r="CA874" t="s">
        <v>287</v>
      </c>
      <c r="CC874" t="s">
        <v>209</v>
      </c>
      <c r="CE874" t="s">
        <v>242</v>
      </c>
      <c r="CJ874" t="s">
        <v>206</v>
      </c>
      <c r="CK874" t="s">
        <v>230</v>
      </c>
      <c r="CL874" t="s">
        <v>231</v>
      </c>
      <c r="CM874" t="s">
        <v>232</v>
      </c>
      <c r="CN874" t="s">
        <v>233</v>
      </c>
      <c r="CP874" t="s">
        <v>212</v>
      </c>
      <c r="CQ874" t="s">
        <v>212</v>
      </c>
      <c r="CR874" t="s">
        <v>212</v>
      </c>
      <c r="CS874" t="s">
        <v>212</v>
      </c>
      <c r="CY874" t="s">
        <v>212</v>
      </c>
      <c r="DB874" t="s">
        <v>234</v>
      </c>
      <c r="DE874" t="s">
        <v>212</v>
      </c>
      <c r="DF874" t="s">
        <v>212</v>
      </c>
      <c r="DG874" t="s">
        <v>235</v>
      </c>
      <c r="DH874" t="s">
        <v>212</v>
      </c>
      <c r="DJ874" t="s">
        <v>236</v>
      </c>
      <c r="DM874" t="s">
        <v>212</v>
      </c>
    </row>
    <row r="875" spans="1:117" x14ac:dyDescent="0.3">
      <c r="A875">
        <v>25954789</v>
      </c>
      <c r="B875">
        <v>11231137</v>
      </c>
      <c r="C875" t="str">
        <f>"170517601953"</f>
        <v>170517601953</v>
      </c>
      <c r="D875" t="s">
        <v>759</v>
      </c>
      <c r="E875" t="s">
        <v>2120</v>
      </c>
      <c r="F875" t="s">
        <v>761</v>
      </c>
      <c r="G875" s="1">
        <v>42872</v>
      </c>
      <c r="I875" t="s">
        <v>199</v>
      </c>
      <c r="J875" t="s">
        <v>200</v>
      </c>
      <c r="K875" t="s">
        <v>369</v>
      </c>
      <c r="Q875" t="s">
        <v>212</v>
      </c>
      <c r="R875" t="str">
        <f>"КАЗАХСТАН, АКМОЛИНСКАЯ, СТЕПНОГОРСК, Бестобе, 14, 24"</f>
        <v>КАЗАХСТАН, АКМОЛИНСКАЯ, СТЕПНОГОРСК, Бестобе, 14, 24</v>
      </c>
      <c r="S875" t="str">
        <f>"ҚАЗАҚСТАН, АҚМОЛА, СТЕПНОГОР, Бестобе, 14, 24"</f>
        <v>ҚАЗАҚСТАН, АҚМОЛА, СТЕПНОГОР, Бестобе, 14, 24</v>
      </c>
      <c r="T875" t="str">
        <f>"Бестобе, 14, 24"</f>
        <v>Бестобе, 14, 24</v>
      </c>
      <c r="U875" t="str">
        <f>"Бестобе, 14, 24"</f>
        <v>Бестобе, 14, 24</v>
      </c>
      <c r="AC875" t="str">
        <f t="shared" si="48"/>
        <v>2023-08-25T00:00:00</v>
      </c>
      <c r="AD875" t="str">
        <f t="shared" si="49"/>
        <v>202</v>
      </c>
      <c r="AG875" t="s">
        <v>202</v>
      </c>
      <c r="AI875" t="s">
        <v>274</v>
      </c>
      <c r="AJ875" t="s">
        <v>1298</v>
      </c>
      <c r="AK875" t="s">
        <v>253</v>
      </c>
      <c r="AL875" t="s">
        <v>206</v>
      </c>
      <c r="AN875" t="s">
        <v>254</v>
      </c>
      <c r="AO875">
        <v>2</v>
      </c>
      <c r="AP875" t="s">
        <v>208</v>
      </c>
      <c r="AQ875" t="s">
        <v>209</v>
      </c>
      <c r="AR875" t="s">
        <v>502</v>
      </c>
      <c r="AW875" t="s">
        <v>212</v>
      </c>
      <c r="AZ875" t="s">
        <v>209</v>
      </c>
      <c r="BI875" t="s">
        <v>212</v>
      </c>
      <c r="BJ875" t="s">
        <v>213</v>
      </c>
      <c r="BK875" t="s">
        <v>214</v>
      </c>
      <c r="BL875" t="s">
        <v>215</v>
      </c>
      <c r="BN875" t="s">
        <v>661</v>
      </c>
      <c r="BO875" t="s">
        <v>209</v>
      </c>
      <c r="BS875" t="s">
        <v>220</v>
      </c>
      <c r="BX875" t="s">
        <v>234</v>
      </c>
      <c r="BY875" t="s">
        <v>234</v>
      </c>
      <c r="CA875" t="s">
        <v>287</v>
      </c>
      <c r="CC875" t="s">
        <v>209</v>
      </c>
      <c r="CE875" t="s">
        <v>242</v>
      </c>
      <c r="CJ875" t="s">
        <v>206</v>
      </c>
      <c r="CK875" t="s">
        <v>230</v>
      </c>
      <c r="CL875" t="s">
        <v>231</v>
      </c>
      <c r="CM875" t="s">
        <v>232</v>
      </c>
      <c r="CN875" t="s">
        <v>233</v>
      </c>
      <c r="CP875" t="s">
        <v>212</v>
      </c>
      <c r="CQ875" t="s">
        <v>212</v>
      </c>
      <c r="CR875" t="s">
        <v>212</v>
      </c>
      <c r="CS875" t="s">
        <v>212</v>
      </c>
      <c r="CY875" t="s">
        <v>212</v>
      </c>
      <c r="DB875" t="s">
        <v>234</v>
      </c>
      <c r="DE875" t="s">
        <v>212</v>
      </c>
      <c r="DF875" t="s">
        <v>212</v>
      </c>
      <c r="DG875" t="s">
        <v>235</v>
      </c>
      <c r="DH875" t="s">
        <v>212</v>
      </c>
      <c r="DJ875" t="s">
        <v>236</v>
      </c>
      <c r="DM875" t="s">
        <v>212</v>
      </c>
    </row>
    <row r="876" spans="1:117" x14ac:dyDescent="0.3">
      <c r="A876">
        <v>25954891</v>
      </c>
      <c r="B876">
        <v>12391171</v>
      </c>
      <c r="C876" t="str">
        <f>"180206503062"</f>
        <v>180206503062</v>
      </c>
      <c r="D876" t="s">
        <v>1287</v>
      </c>
      <c r="E876" t="s">
        <v>2121</v>
      </c>
      <c r="F876" t="s">
        <v>2122</v>
      </c>
      <c r="G876" s="1">
        <v>43137</v>
      </c>
      <c r="I876" t="s">
        <v>240</v>
      </c>
      <c r="J876" t="s">
        <v>200</v>
      </c>
      <c r="K876" t="s">
        <v>201</v>
      </c>
      <c r="Q876" t="s">
        <v>212</v>
      </c>
      <c r="R876" t="str">
        <f>"КАЗАХСТАН, АКМОЛИНСКАЯ, СТЕПНОГОРСК, 12, 74"</f>
        <v>КАЗАХСТАН, АКМОЛИНСКАЯ, СТЕПНОГОРСК, 12, 74</v>
      </c>
      <c r="S876" t="str">
        <f>"ҚАЗАҚСТАН, АҚМОЛА, СТЕПНОГОР, 12, 74"</f>
        <v>ҚАЗАҚСТАН, АҚМОЛА, СТЕПНОГОР, 12, 74</v>
      </c>
      <c r="T876" t="str">
        <f>"12, 74"</f>
        <v>12, 74</v>
      </c>
      <c r="U876" t="str">
        <f>"12, 74"</f>
        <v>12, 74</v>
      </c>
      <c r="AC876" t="str">
        <f t="shared" si="48"/>
        <v>2023-08-25T00:00:00</v>
      </c>
      <c r="AD876" t="str">
        <f t="shared" si="49"/>
        <v>202</v>
      </c>
      <c r="AG876" t="s">
        <v>646</v>
      </c>
      <c r="AI876" t="s">
        <v>274</v>
      </c>
      <c r="AJ876" t="s">
        <v>1298</v>
      </c>
      <c r="AK876" t="s">
        <v>253</v>
      </c>
      <c r="AL876" t="s">
        <v>206</v>
      </c>
      <c r="AN876" t="s">
        <v>254</v>
      </c>
      <c r="AO876">
        <v>2</v>
      </c>
      <c r="AP876" t="s">
        <v>208</v>
      </c>
      <c r="AQ876" t="s">
        <v>209</v>
      </c>
      <c r="AR876" t="s">
        <v>502</v>
      </c>
      <c r="AW876" t="s">
        <v>212</v>
      </c>
      <c r="AZ876" t="s">
        <v>209</v>
      </c>
      <c r="BI876" t="s">
        <v>212</v>
      </c>
      <c r="BJ876" t="s">
        <v>213</v>
      </c>
      <c r="BK876" t="s">
        <v>214</v>
      </c>
      <c r="BL876" t="s">
        <v>215</v>
      </c>
      <c r="BN876" t="s">
        <v>661</v>
      </c>
      <c r="BO876" t="s">
        <v>209</v>
      </c>
      <c r="BS876" t="s">
        <v>220</v>
      </c>
      <c r="CA876" t="s">
        <v>287</v>
      </c>
      <c r="CC876" t="s">
        <v>209</v>
      </c>
      <c r="CE876" t="s">
        <v>242</v>
      </c>
      <c r="CJ876" t="s">
        <v>206</v>
      </c>
      <c r="CK876" t="s">
        <v>230</v>
      </c>
      <c r="CL876" t="s">
        <v>231</v>
      </c>
      <c r="CM876" t="s">
        <v>232</v>
      </c>
      <c r="CN876" t="s">
        <v>233</v>
      </c>
      <c r="CP876" t="s">
        <v>212</v>
      </c>
      <c r="CQ876" t="s">
        <v>212</v>
      </c>
      <c r="CR876" t="s">
        <v>212</v>
      </c>
      <c r="CS876" t="s">
        <v>212</v>
      </c>
      <c r="CY876" t="s">
        <v>212</v>
      </c>
      <c r="DB876" t="s">
        <v>234</v>
      </c>
      <c r="DE876" t="s">
        <v>212</v>
      </c>
      <c r="DF876" t="s">
        <v>212</v>
      </c>
      <c r="DG876" t="s">
        <v>235</v>
      </c>
      <c r="DH876" t="s">
        <v>212</v>
      </c>
      <c r="DJ876" t="s">
        <v>236</v>
      </c>
      <c r="DM876" t="s">
        <v>212</v>
      </c>
    </row>
    <row r="877" spans="1:117" x14ac:dyDescent="0.3">
      <c r="A877">
        <v>25973473</v>
      </c>
      <c r="B877">
        <v>13392970</v>
      </c>
      <c r="C877" t="str">
        <f>"170715600446"</f>
        <v>170715600446</v>
      </c>
      <c r="D877" t="s">
        <v>2123</v>
      </c>
      <c r="E877" t="s">
        <v>2124</v>
      </c>
      <c r="F877" t="s">
        <v>2125</v>
      </c>
      <c r="G877" s="1">
        <v>42931</v>
      </c>
      <c r="I877" t="s">
        <v>199</v>
      </c>
      <c r="J877" t="s">
        <v>200</v>
      </c>
      <c r="K877" t="s">
        <v>201</v>
      </c>
      <c r="Q877" t="s">
        <v>212</v>
      </c>
      <c r="R877" t="str">
        <f>"КАЗАХСТАН, АКМОЛИНСКАЯ, СТЕПНОГОРСК, 20, 26"</f>
        <v>КАЗАХСТАН, АКМОЛИНСКАЯ, СТЕПНОГОРСК, 20, 26</v>
      </c>
      <c r="S877" t="str">
        <f>"ҚАЗАҚСТАН, АҚМОЛА, СТЕПНОГОР, 20, 26"</f>
        <v>ҚАЗАҚСТАН, АҚМОЛА, СТЕПНОГОР, 20, 26</v>
      </c>
      <c r="T877" t="str">
        <f>"20, 26"</f>
        <v>20, 26</v>
      </c>
      <c r="U877" t="str">
        <f>"20, 26"</f>
        <v>20, 26</v>
      </c>
      <c r="AC877" t="str">
        <f t="shared" si="48"/>
        <v>2023-08-25T00:00:00</v>
      </c>
      <c r="AD877" t="str">
        <f t="shared" si="49"/>
        <v>202</v>
      </c>
      <c r="AG877" t="s">
        <v>202</v>
      </c>
      <c r="AI877" t="s">
        <v>274</v>
      </c>
      <c r="AJ877" t="s">
        <v>1298</v>
      </c>
      <c r="AK877" t="s">
        <v>253</v>
      </c>
      <c r="AL877" t="s">
        <v>206</v>
      </c>
      <c r="AN877" t="s">
        <v>254</v>
      </c>
      <c r="AO877">
        <v>2</v>
      </c>
      <c r="AP877" t="s">
        <v>208</v>
      </c>
      <c r="AQ877" t="s">
        <v>209</v>
      </c>
      <c r="AR877" t="s">
        <v>502</v>
      </c>
      <c r="AW877" t="s">
        <v>212</v>
      </c>
      <c r="AZ877" t="s">
        <v>209</v>
      </c>
      <c r="BI877" t="s">
        <v>212</v>
      </c>
      <c r="BJ877" t="s">
        <v>213</v>
      </c>
      <c r="BK877" t="s">
        <v>214</v>
      </c>
      <c r="BL877" t="s">
        <v>215</v>
      </c>
      <c r="BN877" t="s">
        <v>661</v>
      </c>
      <c r="BO877" t="s">
        <v>209</v>
      </c>
      <c r="BS877" t="s">
        <v>220</v>
      </c>
      <c r="CA877" t="s">
        <v>287</v>
      </c>
      <c r="CC877" t="s">
        <v>209</v>
      </c>
      <c r="CE877" t="s">
        <v>242</v>
      </c>
      <c r="CJ877" t="s">
        <v>206</v>
      </c>
      <c r="CK877" t="s">
        <v>230</v>
      </c>
      <c r="CL877" t="s">
        <v>231</v>
      </c>
      <c r="CM877" t="s">
        <v>232</v>
      </c>
      <c r="CN877" t="s">
        <v>233</v>
      </c>
      <c r="CP877" t="s">
        <v>212</v>
      </c>
      <c r="CQ877" t="s">
        <v>212</v>
      </c>
      <c r="CR877" t="s">
        <v>212</v>
      </c>
      <c r="CS877" t="s">
        <v>212</v>
      </c>
      <c r="CY877" t="s">
        <v>212</v>
      </c>
      <c r="DB877" t="s">
        <v>234</v>
      </c>
      <c r="DE877" t="s">
        <v>212</v>
      </c>
      <c r="DF877" t="s">
        <v>212</v>
      </c>
      <c r="DG877" t="s">
        <v>235</v>
      </c>
      <c r="DH877" t="s">
        <v>212</v>
      </c>
      <c r="DJ877" t="s">
        <v>236</v>
      </c>
      <c r="DM877" t="s">
        <v>212</v>
      </c>
    </row>
    <row r="878" spans="1:117" x14ac:dyDescent="0.3">
      <c r="A878">
        <v>26020863</v>
      </c>
      <c r="B878">
        <v>10117733</v>
      </c>
      <c r="C878" t="str">
        <f>"170404500072"</f>
        <v>170404500072</v>
      </c>
      <c r="D878" t="s">
        <v>2126</v>
      </c>
      <c r="E878" t="s">
        <v>720</v>
      </c>
      <c r="F878" t="s">
        <v>294</v>
      </c>
      <c r="G878" s="1">
        <v>42829</v>
      </c>
      <c r="I878" t="s">
        <v>240</v>
      </c>
      <c r="J878" t="s">
        <v>200</v>
      </c>
      <c r="K878" t="s">
        <v>260</v>
      </c>
      <c r="Q878" t="s">
        <v>212</v>
      </c>
      <c r="R878" t="str">
        <f>"КАЗАХСТАН, АКМОЛИНСКАЯ, ЦЕЛИНОГРАДСКИЙ РАЙОН, Акмол, Акмол, 1, 89"</f>
        <v>КАЗАХСТАН, АКМОЛИНСКАЯ, ЦЕЛИНОГРАДСКИЙ РАЙОН, Акмол, Акмол, 1, 89</v>
      </c>
      <c r="S878" t="str">
        <f>"ҚАЗАҚСТАН, АҚМОЛА, ЦЕЛИНОГРАД АУДАНЫ, Акмол, Акмол, 1, 89"</f>
        <v>ҚАЗАҚСТАН, АҚМОЛА, ЦЕЛИНОГРАД АУДАНЫ, Акмол, Акмол, 1, 89</v>
      </c>
      <c r="T878" t="str">
        <f>"Акмол, Акмол, 1, 89"</f>
        <v>Акмол, Акмол, 1, 89</v>
      </c>
      <c r="U878" t="str">
        <f>"Акмол, Акмол, 1, 89"</f>
        <v>Акмол, Акмол, 1, 89</v>
      </c>
      <c r="AC878" t="str">
        <f t="shared" si="48"/>
        <v>2023-08-25T00:00:00</v>
      </c>
      <c r="AD878" t="str">
        <f>"201"</f>
        <v>201</v>
      </c>
      <c r="AE878" t="str">
        <f>"2023-09-01T17:44:00"</f>
        <v>2023-09-01T17:44:00</v>
      </c>
      <c r="AF878" t="str">
        <f>"2024-05-25T17:44:00"</f>
        <v>2024-05-25T17:44:00</v>
      </c>
      <c r="AG878" t="s">
        <v>202</v>
      </c>
      <c r="AI878" t="s">
        <v>274</v>
      </c>
      <c r="AJ878" t="s">
        <v>660</v>
      </c>
      <c r="AK878" t="s">
        <v>246</v>
      </c>
      <c r="AL878" t="s">
        <v>206</v>
      </c>
      <c r="AN878" t="s">
        <v>207</v>
      </c>
      <c r="AO878">
        <v>1</v>
      </c>
      <c r="AP878" t="s">
        <v>208</v>
      </c>
      <c r="AQ878" t="s">
        <v>209</v>
      </c>
      <c r="AR878" t="s">
        <v>502</v>
      </c>
      <c r="AW878" t="s">
        <v>212</v>
      </c>
      <c r="AZ878" t="s">
        <v>209</v>
      </c>
      <c r="BI878" t="s">
        <v>212</v>
      </c>
      <c r="BJ878" t="s">
        <v>213</v>
      </c>
      <c r="BK878" t="s">
        <v>214</v>
      </c>
      <c r="BL878" t="s">
        <v>357</v>
      </c>
      <c r="BN878" t="s">
        <v>661</v>
      </c>
      <c r="BO878" t="s">
        <v>209</v>
      </c>
      <c r="BS878" t="s">
        <v>220</v>
      </c>
      <c r="BU878" t="s">
        <v>212</v>
      </c>
      <c r="BZ878" t="s">
        <v>662</v>
      </c>
      <c r="CA878" t="s">
        <v>287</v>
      </c>
      <c r="CC878" t="s">
        <v>222</v>
      </c>
      <c r="CD878" t="s">
        <v>349</v>
      </c>
      <c r="CE878" t="s">
        <v>242</v>
      </c>
      <c r="CJ878" t="s">
        <v>206</v>
      </c>
      <c r="CK878" t="s">
        <v>230</v>
      </c>
      <c r="CL878" t="s">
        <v>231</v>
      </c>
      <c r="CM878" t="s">
        <v>232</v>
      </c>
      <c r="CN878" t="s">
        <v>233</v>
      </c>
      <c r="CP878" t="s">
        <v>212</v>
      </c>
      <c r="CQ878" t="s">
        <v>212</v>
      </c>
      <c r="CR878" t="s">
        <v>212</v>
      </c>
      <c r="CS878" t="s">
        <v>212</v>
      </c>
      <c r="CY878" t="s">
        <v>212</v>
      </c>
      <c r="DB878" t="s">
        <v>234</v>
      </c>
      <c r="DE878" t="s">
        <v>212</v>
      </c>
      <c r="DF878" t="s">
        <v>212</v>
      </c>
      <c r="DG878" t="s">
        <v>235</v>
      </c>
      <c r="DH878" t="s">
        <v>212</v>
      </c>
      <c r="DJ878" t="s">
        <v>236</v>
      </c>
      <c r="DM878" t="s">
        <v>212</v>
      </c>
    </row>
    <row r="879" spans="1:117" x14ac:dyDescent="0.3">
      <c r="A879">
        <v>26021978</v>
      </c>
      <c r="B879">
        <v>162323</v>
      </c>
      <c r="C879" t="str">
        <f>"120609500771"</f>
        <v>120609500771</v>
      </c>
      <c r="D879" t="s">
        <v>2127</v>
      </c>
      <c r="E879" t="s">
        <v>1734</v>
      </c>
      <c r="F879" t="s">
        <v>2128</v>
      </c>
      <c r="G879" s="1">
        <v>41069</v>
      </c>
      <c r="I879" t="s">
        <v>240</v>
      </c>
      <c r="J879" t="s">
        <v>200</v>
      </c>
      <c r="K879" t="s">
        <v>201</v>
      </c>
      <c r="Q879" t="s">
        <v>212</v>
      </c>
      <c r="R879" t="str">
        <f>"КАЗАХСТАН, АКМОЛИНСКАЯ, АТБАСАРСКИЙ РАЙОН, Атбасар, 87, 1"</f>
        <v>КАЗАХСТАН, АКМОЛИНСКАЯ, АТБАСАРСКИЙ РАЙОН, Атбасар, 87, 1</v>
      </c>
      <c r="S879" t="str">
        <f>"ҚАЗАҚСТАН, АҚМОЛА, АТБАСАР АУДАНЫ, Атбасар, 87, 1"</f>
        <v>ҚАЗАҚСТАН, АҚМОЛА, АТБАСАР АУДАНЫ, Атбасар, 87, 1</v>
      </c>
      <c r="T879" t="str">
        <f>"Атбасар, 87, 1"</f>
        <v>Атбасар, 87, 1</v>
      </c>
      <c r="U879" t="str">
        <f>"Атбасар, 87, 1"</f>
        <v>Атбасар, 87, 1</v>
      </c>
      <c r="AC879" t="str">
        <f>"2023-08-28T00:00:00"</f>
        <v>2023-08-28T00:00:00</v>
      </c>
      <c r="AD879" t="str">
        <f>"63"</f>
        <v>63</v>
      </c>
      <c r="AG879" t="s">
        <v>646</v>
      </c>
      <c r="AI879" t="s">
        <v>203</v>
      </c>
      <c r="AJ879" t="s">
        <v>419</v>
      </c>
      <c r="AK879" t="s">
        <v>205</v>
      </c>
      <c r="AL879" t="s">
        <v>206</v>
      </c>
      <c r="AN879" t="s">
        <v>207</v>
      </c>
      <c r="AO879">
        <v>1</v>
      </c>
      <c r="AP879" t="s">
        <v>208</v>
      </c>
      <c r="AQ879" t="s">
        <v>209</v>
      </c>
      <c r="AR879" t="s">
        <v>210</v>
      </c>
      <c r="AW879" t="s">
        <v>206</v>
      </c>
      <c r="AX879" t="s">
        <v>211</v>
      </c>
      <c r="AZ879" t="s">
        <v>209</v>
      </c>
      <c r="BI879" t="s">
        <v>212</v>
      </c>
      <c r="BJ879" t="s">
        <v>213</v>
      </c>
      <c r="BK879" t="s">
        <v>214</v>
      </c>
      <c r="BL879" t="s">
        <v>215</v>
      </c>
      <c r="BN879" t="s">
        <v>216</v>
      </c>
      <c r="BO879" t="s">
        <v>209</v>
      </c>
      <c r="BP879" t="s">
        <v>241</v>
      </c>
      <c r="BQ879">
        <v>4</v>
      </c>
      <c r="BS879" t="s">
        <v>219</v>
      </c>
      <c r="BT879" t="s">
        <v>220</v>
      </c>
      <c r="BU879" t="s">
        <v>206</v>
      </c>
      <c r="CA879" t="s">
        <v>287</v>
      </c>
      <c r="CC879" t="s">
        <v>209</v>
      </c>
      <c r="CE879" t="s">
        <v>242</v>
      </c>
      <c r="CJ879" t="s">
        <v>206</v>
      </c>
      <c r="CK879" t="s">
        <v>230</v>
      </c>
      <c r="CL879" t="s">
        <v>231</v>
      </c>
      <c r="CM879" t="s">
        <v>232</v>
      </c>
      <c r="CN879" t="s">
        <v>233</v>
      </c>
      <c r="CP879" t="s">
        <v>212</v>
      </c>
      <c r="CQ879" t="s">
        <v>212</v>
      </c>
      <c r="CR879" t="s">
        <v>212</v>
      </c>
      <c r="CS879" t="s">
        <v>212</v>
      </c>
      <c r="CY879" t="s">
        <v>212</v>
      </c>
      <c r="DB879" t="s">
        <v>234</v>
      </c>
      <c r="DE879" t="s">
        <v>212</v>
      </c>
      <c r="DF879" t="s">
        <v>212</v>
      </c>
      <c r="DG879" t="s">
        <v>235</v>
      </c>
      <c r="DH879" t="s">
        <v>212</v>
      </c>
      <c r="DJ879" t="s">
        <v>236</v>
      </c>
      <c r="DM879" t="s">
        <v>212</v>
      </c>
    </row>
    <row r="880" spans="1:117" x14ac:dyDescent="0.3">
      <c r="A880">
        <v>26067271</v>
      </c>
      <c r="B880">
        <v>7299517</v>
      </c>
      <c r="C880" t="str">
        <f>"161130603683"</f>
        <v>161130603683</v>
      </c>
      <c r="D880" t="s">
        <v>1108</v>
      </c>
      <c r="E880" t="s">
        <v>1357</v>
      </c>
      <c r="F880" t="s">
        <v>2129</v>
      </c>
      <c r="G880" s="1">
        <v>42704</v>
      </c>
      <c r="I880" t="s">
        <v>199</v>
      </c>
      <c r="J880" t="s">
        <v>200</v>
      </c>
      <c r="K880" t="s">
        <v>201</v>
      </c>
      <c r="Q880" t="s">
        <v>212</v>
      </c>
      <c r="R880" t="str">
        <f>"КАЗАХСТАН, АКМОЛИНСКАЯ, СТЕПНОГОРСК, 45, 76"</f>
        <v>КАЗАХСТАН, АКМОЛИНСКАЯ, СТЕПНОГОРСК, 45, 76</v>
      </c>
      <c r="S880" t="str">
        <f>"ҚАЗАҚСТАН, АҚМОЛА, СТЕПНОГОР, 45, 76"</f>
        <v>ҚАЗАҚСТАН, АҚМОЛА, СТЕПНОГОР, 45, 76</v>
      </c>
      <c r="T880" t="str">
        <f>"45, 76"</f>
        <v>45, 76</v>
      </c>
      <c r="U880" t="str">
        <f>"45, 76"</f>
        <v>45, 76</v>
      </c>
      <c r="AC880" t="str">
        <f>"2023-08-31T00:00:00"</f>
        <v>2023-08-31T00:00:00</v>
      </c>
      <c r="AD880" t="str">
        <f>"201"</f>
        <v>201</v>
      </c>
      <c r="AG880" t="s">
        <v>202</v>
      </c>
      <c r="AI880" t="s">
        <v>274</v>
      </c>
      <c r="AJ880" t="s">
        <v>660</v>
      </c>
      <c r="AK880" t="s">
        <v>205</v>
      </c>
      <c r="AL880" t="s">
        <v>206</v>
      </c>
      <c r="AN880" t="s">
        <v>207</v>
      </c>
      <c r="AO880">
        <v>1</v>
      </c>
      <c r="AP880" t="s">
        <v>208</v>
      </c>
      <c r="AQ880" t="s">
        <v>209</v>
      </c>
      <c r="AR880" t="s">
        <v>502</v>
      </c>
      <c r="AW880" t="s">
        <v>212</v>
      </c>
      <c r="AZ880" t="s">
        <v>209</v>
      </c>
      <c r="BI880" t="s">
        <v>212</v>
      </c>
      <c r="BJ880" t="s">
        <v>213</v>
      </c>
      <c r="BK880" t="s">
        <v>214</v>
      </c>
      <c r="BL880" t="s">
        <v>357</v>
      </c>
      <c r="BN880" t="s">
        <v>661</v>
      </c>
      <c r="BO880" t="s">
        <v>209</v>
      </c>
      <c r="BS880" t="s">
        <v>220</v>
      </c>
      <c r="BU880" t="s">
        <v>212</v>
      </c>
      <c r="BZ880" t="s">
        <v>662</v>
      </c>
      <c r="CA880" t="s">
        <v>287</v>
      </c>
      <c r="CC880" t="s">
        <v>209</v>
      </c>
      <c r="CE880" t="s">
        <v>242</v>
      </c>
      <c r="CJ880" t="s">
        <v>206</v>
      </c>
      <c r="CK880" t="s">
        <v>230</v>
      </c>
      <c r="CL880" t="s">
        <v>231</v>
      </c>
      <c r="CM880" t="s">
        <v>232</v>
      </c>
      <c r="CN880" t="s">
        <v>233</v>
      </c>
      <c r="CP880" t="s">
        <v>212</v>
      </c>
      <c r="CQ880" t="s">
        <v>212</v>
      </c>
      <c r="CR880" t="s">
        <v>212</v>
      </c>
      <c r="CS880" t="s">
        <v>212</v>
      </c>
      <c r="CY880" t="s">
        <v>212</v>
      </c>
      <c r="DB880" t="s">
        <v>234</v>
      </c>
      <c r="DE880" t="s">
        <v>212</v>
      </c>
      <c r="DF880" t="s">
        <v>212</v>
      </c>
      <c r="DG880" t="s">
        <v>235</v>
      </c>
      <c r="DH880" t="s">
        <v>212</v>
      </c>
      <c r="DJ880" t="s">
        <v>236</v>
      </c>
      <c r="DM880" t="s">
        <v>212</v>
      </c>
    </row>
    <row r="881" spans="1:117" x14ac:dyDescent="0.3">
      <c r="A881">
        <v>26141407</v>
      </c>
      <c r="B881">
        <v>312139</v>
      </c>
      <c r="C881" t="str">
        <f>"060327551730"</f>
        <v>060327551730</v>
      </c>
      <c r="D881" t="s">
        <v>2130</v>
      </c>
      <c r="E881" t="s">
        <v>819</v>
      </c>
      <c r="F881" t="s">
        <v>239</v>
      </c>
      <c r="G881" s="1">
        <v>38803</v>
      </c>
      <c r="I881" t="s">
        <v>240</v>
      </c>
      <c r="J881" t="s">
        <v>200</v>
      </c>
      <c r="K881" t="s">
        <v>260</v>
      </c>
      <c r="Q881" t="s">
        <v>212</v>
      </c>
      <c r="R881" t="str">
        <f>"КАЗАХСТАН, АКМОЛИНСКАЯ, СТЕПНОГОРСК, 50, 90"</f>
        <v>КАЗАХСТАН, АКМОЛИНСКАЯ, СТЕПНОГОРСК, 50, 90</v>
      </c>
      <c r="S881" t="str">
        <f>"ҚАЗАҚСТАН, АҚМОЛА, СТЕПНОГОР, 50, 90"</f>
        <v>ҚАЗАҚСТАН, АҚМОЛА, СТЕПНОГОР, 50, 90</v>
      </c>
      <c r="T881" t="str">
        <f>"50, 90"</f>
        <v>50, 90</v>
      </c>
      <c r="U881" t="str">
        <f>"50, 90"</f>
        <v>50, 90</v>
      </c>
      <c r="AC881" t="str">
        <f>"2023-08-17T00:00:00"</f>
        <v>2023-08-17T00:00:00</v>
      </c>
      <c r="AD881" t="str">
        <f>"63"</f>
        <v>63</v>
      </c>
      <c r="AG881" t="s">
        <v>202</v>
      </c>
      <c r="AH881" t="str">
        <f>"ckool007@mail.ru"</f>
        <v>ckool007@mail.ru</v>
      </c>
      <c r="AI881" t="s">
        <v>203</v>
      </c>
      <c r="AJ881" t="s">
        <v>795</v>
      </c>
      <c r="AK881" t="s">
        <v>205</v>
      </c>
      <c r="AL881" t="s">
        <v>206</v>
      </c>
      <c r="AN881" t="s">
        <v>207</v>
      </c>
      <c r="AO881">
        <v>1</v>
      </c>
      <c r="AP881" t="s">
        <v>208</v>
      </c>
      <c r="AQ881" t="s">
        <v>209</v>
      </c>
      <c r="AR881" t="s">
        <v>210</v>
      </c>
      <c r="AW881" t="s">
        <v>206</v>
      </c>
      <c r="AX881" t="s">
        <v>211</v>
      </c>
      <c r="AZ881" t="s">
        <v>209</v>
      </c>
      <c r="BI881" t="s">
        <v>212</v>
      </c>
      <c r="BJ881" t="s">
        <v>213</v>
      </c>
      <c r="BK881" t="s">
        <v>214</v>
      </c>
      <c r="BL881" t="s">
        <v>215</v>
      </c>
      <c r="BN881" t="s">
        <v>216</v>
      </c>
      <c r="BO881" t="s">
        <v>209</v>
      </c>
      <c r="BP881" t="s">
        <v>241</v>
      </c>
      <c r="BQ881">
        <v>4</v>
      </c>
      <c r="BS881" t="s">
        <v>219</v>
      </c>
      <c r="BT881" t="s">
        <v>220</v>
      </c>
      <c r="BU881" t="s">
        <v>206</v>
      </c>
      <c r="CA881" t="s">
        <v>287</v>
      </c>
      <c r="CC881" t="s">
        <v>209</v>
      </c>
      <c r="CE881" t="s">
        <v>342</v>
      </c>
      <c r="CF881" t="s">
        <v>226</v>
      </c>
      <c r="CG881" t="s">
        <v>227</v>
      </c>
      <c r="CH881" t="s">
        <v>228</v>
      </c>
      <c r="CI881" t="s">
        <v>2131</v>
      </c>
      <c r="CJ881" t="s">
        <v>206</v>
      </c>
      <c r="CK881" t="s">
        <v>230</v>
      </c>
      <c r="CL881" t="s">
        <v>231</v>
      </c>
      <c r="CM881" t="s">
        <v>232</v>
      </c>
      <c r="CN881" t="s">
        <v>233</v>
      </c>
      <c r="CP881" t="s">
        <v>212</v>
      </c>
      <c r="CQ881" t="s">
        <v>212</v>
      </c>
      <c r="CR881" t="s">
        <v>212</v>
      </c>
      <c r="CS881" t="s">
        <v>212</v>
      </c>
      <c r="CY881" t="s">
        <v>212</v>
      </c>
      <c r="DB881" t="s">
        <v>234</v>
      </c>
      <c r="DE881" t="s">
        <v>212</v>
      </c>
      <c r="DF881" t="s">
        <v>212</v>
      </c>
      <c r="DG881" t="s">
        <v>235</v>
      </c>
      <c r="DH881" t="s">
        <v>212</v>
      </c>
      <c r="DJ881" t="s">
        <v>236</v>
      </c>
      <c r="DM881" t="s">
        <v>212</v>
      </c>
    </row>
    <row r="882" spans="1:117" x14ac:dyDescent="0.3">
      <c r="A882">
        <v>26144622</v>
      </c>
      <c r="B882">
        <v>12467466</v>
      </c>
      <c r="C882" t="str">
        <f>"171229605379"</f>
        <v>171229605379</v>
      </c>
      <c r="D882" t="s">
        <v>1985</v>
      </c>
      <c r="E882" t="s">
        <v>2132</v>
      </c>
      <c r="F882" t="s">
        <v>2133</v>
      </c>
      <c r="G882" s="1">
        <v>43098</v>
      </c>
      <c r="I882" t="s">
        <v>199</v>
      </c>
      <c r="J882" t="s">
        <v>200</v>
      </c>
      <c r="K882" t="s">
        <v>201</v>
      </c>
      <c r="Q882" t="s">
        <v>212</v>
      </c>
      <c r="R882" t="str">
        <f>"КАЗАХСТАН, НУР-СУЛТАН, АЛМАТЫ РАЙОН, -, 56/7, 7"</f>
        <v>КАЗАХСТАН, НУР-СУЛТАН, АЛМАТЫ РАЙОН, -, 56/7, 7</v>
      </c>
      <c r="S882" t="str">
        <f>"ҚАЗАҚСТАН, НҰР-СҰЛТАН, АЛМАТЫ АУДАНЫ, -, 56/7, 7"</f>
        <v>ҚАЗАҚСТАН, НҰР-СҰЛТАН, АЛМАТЫ АУДАНЫ, -, 56/7, 7</v>
      </c>
      <c r="T882" t="str">
        <f>"-, 56/7, 7"</f>
        <v>-, 56/7, 7</v>
      </c>
      <c r="U882" t="str">
        <f>"-, 56/7, 7"</f>
        <v>-, 56/7, 7</v>
      </c>
      <c r="AC882" t="str">
        <f>"2023-08-25T00:00:00"</f>
        <v>2023-08-25T00:00:00</v>
      </c>
      <c r="AD882" t="str">
        <f>"202"</f>
        <v>202</v>
      </c>
      <c r="AG882" t="s">
        <v>646</v>
      </c>
      <c r="AI882" t="s">
        <v>269</v>
      </c>
      <c r="AJ882" t="s">
        <v>1298</v>
      </c>
      <c r="AK882" t="s">
        <v>253</v>
      </c>
      <c r="AL882" t="s">
        <v>206</v>
      </c>
      <c r="AN882" t="s">
        <v>254</v>
      </c>
      <c r="AO882">
        <v>2</v>
      </c>
      <c r="AP882" t="s">
        <v>208</v>
      </c>
      <c r="AQ882" t="s">
        <v>209</v>
      </c>
      <c r="AR882" t="s">
        <v>502</v>
      </c>
      <c r="AW882" t="s">
        <v>212</v>
      </c>
      <c r="AZ882" t="s">
        <v>209</v>
      </c>
      <c r="BI882" t="s">
        <v>212</v>
      </c>
      <c r="BJ882" t="s">
        <v>213</v>
      </c>
      <c r="BK882" t="s">
        <v>214</v>
      </c>
      <c r="BL882" t="s">
        <v>215</v>
      </c>
      <c r="BN882" t="s">
        <v>661</v>
      </c>
      <c r="BO882" t="s">
        <v>209</v>
      </c>
      <c r="BS882" t="s">
        <v>220</v>
      </c>
      <c r="CA882" t="s">
        <v>287</v>
      </c>
      <c r="CC882" t="s">
        <v>209</v>
      </c>
      <c r="CE882" t="s">
        <v>242</v>
      </c>
      <c r="CJ882" t="s">
        <v>206</v>
      </c>
      <c r="CK882" t="s">
        <v>264</v>
      </c>
      <c r="CL882" t="s">
        <v>231</v>
      </c>
      <c r="CM882" t="s">
        <v>232</v>
      </c>
      <c r="CN882" t="s">
        <v>233</v>
      </c>
      <c r="CP882" t="s">
        <v>212</v>
      </c>
      <c r="CQ882" t="s">
        <v>212</v>
      </c>
      <c r="CR882" t="s">
        <v>212</v>
      </c>
      <c r="CS882" t="s">
        <v>212</v>
      </c>
      <c r="CY882" t="s">
        <v>212</v>
      </c>
      <c r="DB882" t="s">
        <v>234</v>
      </c>
      <c r="DE882" t="s">
        <v>212</v>
      </c>
      <c r="DF882" t="s">
        <v>212</v>
      </c>
      <c r="DG882" t="s">
        <v>235</v>
      </c>
      <c r="DH882" t="s">
        <v>212</v>
      </c>
      <c r="DJ882" t="s">
        <v>236</v>
      </c>
      <c r="DM882" t="s">
        <v>212</v>
      </c>
    </row>
    <row r="883" spans="1:117" x14ac:dyDescent="0.3">
      <c r="A883">
        <v>26217516</v>
      </c>
      <c r="B883">
        <v>123243</v>
      </c>
      <c r="C883" t="str">
        <f>"130814601118"</f>
        <v>130814601118</v>
      </c>
      <c r="D883" t="s">
        <v>2134</v>
      </c>
      <c r="E883" t="s">
        <v>1057</v>
      </c>
      <c r="F883" t="s">
        <v>2135</v>
      </c>
      <c r="G883" s="1">
        <v>41500</v>
      </c>
      <c r="I883" t="s">
        <v>199</v>
      </c>
      <c r="J883" t="s">
        <v>200</v>
      </c>
      <c r="K883" t="s">
        <v>201</v>
      </c>
      <c r="Q883" t="s">
        <v>212</v>
      </c>
      <c r="R883" t="str">
        <f>"КАЗАХСТАН, АКМОЛИНСКАЯ, КОКШЕТАУ, КЕНТI Станционный, 7, 1"</f>
        <v>КАЗАХСТАН, АКМОЛИНСКАЯ, КОКШЕТАУ, КЕНТI Станционный, 7, 1</v>
      </c>
      <c r="S883" t="str">
        <f>"ҚАЗАҚСТАН, АҚМОЛА, КӨКШЕТАУ, КЕНТI Станционный, 7, 1"</f>
        <v>ҚАЗАҚСТАН, АҚМОЛА, КӨКШЕТАУ, КЕНТI Станционный, 7, 1</v>
      </c>
      <c r="T883" t="str">
        <f>"КЕНТI Станционный, 7, 1"</f>
        <v>КЕНТI Станционный, 7, 1</v>
      </c>
      <c r="U883" t="str">
        <f>"КЕНТI Станционный, 7, 1"</f>
        <v>КЕНТI Станционный, 7, 1</v>
      </c>
      <c r="AC883" t="str">
        <f>"2023-08-16T00:00:00"</f>
        <v>2023-08-16T00:00:00</v>
      </c>
      <c r="AD883" t="str">
        <f>"54"</f>
        <v>54</v>
      </c>
      <c r="AG883" t="s">
        <v>333</v>
      </c>
      <c r="AI883" t="s">
        <v>274</v>
      </c>
      <c r="AJ883" t="s">
        <v>419</v>
      </c>
      <c r="AK883" t="s">
        <v>253</v>
      </c>
      <c r="AL883" t="s">
        <v>206</v>
      </c>
      <c r="AN883" t="s">
        <v>254</v>
      </c>
      <c r="AO883">
        <v>1</v>
      </c>
      <c r="AP883" t="s">
        <v>208</v>
      </c>
      <c r="AQ883" t="s">
        <v>209</v>
      </c>
      <c r="AR883" t="s">
        <v>502</v>
      </c>
      <c r="AW883" t="s">
        <v>212</v>
      </c>
      <c r="AZ883" t="s">
        <v>209</v>
      </c>
      <c r="BI883" t="s">
        <v>212</v>
      </c>
      <c r="BJ883" t="s">
        <v>213</v>
      </c>
      <c r="BK883" t="s">
        <v>214</v>
      </c>
      <c r="BL883" t="s">
        <v>215</v>
      </c>
      <c r="BN883" t="s">
        <v>216</v>
      </c>
      <c r="BO883" t="s">
        <v>209</v>
      </c>
      <c r="BP883" t="s">
        <v>241</v>
      </c>
      <c r="BQ883">
        <v>4</v>
      </c>
      <c r="BS883" t="s">
        <v>219</v>
      </c>
      <c r="BT883" t="s">
        <v>220</v>
      </c>
      <c r="BU883" t="s">
        <v>206</v>
      </c>
      <c r="CA883" t="s">
        <v>287</v>
      </c>
      <c r="CC883" t="s">
        <v>282</v>
      </c>
      <c r="CD883" t="s">
        <v>223</v>
      </c>
      <c r="CE883" t="s">
        <v>342</v>
      </c>
      <c r="CF883" t="s">
        <v>226</v>
      </c>
      <c r="CG883" t="s">
        <v>227</v>
      </c>
      <c r="CH883" t="s">
        <v>627</v>
      </c>
      <c r="CI883" t="s">
        <v>2136</v>
      </c>
      <c r="CJ883" t="s">
        <v>206</v>
      </c>
      <c r="CK883" t="s">
        <v>230</v>
      </c>
      <c r="CL883" t="s">
        <v>231</v>
      </c>
      <c r="CM883" t="s">
        <v>232</v>
      </c>
      <c r="CN883" t="s">
        <v>233</v>
      </c>
      <c r="CP883" t="s">
        <v>212</v>
      </c>
      <c r="CQ883" t="s">
        <v>212</v>
      </c>
      <c r="CR883" t="s">
        <v>212</v>
      </c>
      <c r="CS883" t="s">
        <v>212</v>
      </c>
      <c r="CY883" t="s">
        <v>212</v>
      </c>
      <c r="DB883" t="s">
        <v>234</v>
      </c>
      <c r="DE883" t="s">
        <v>212</v>
      </c>
      <c r="DF883" t="s">
        <v>212</v>
      </c>
      <c r="DG883" t="s">
        <v>235</v>
      </c>
      <c r="DH883" t="s">
        <v>212</v>
      </c>
      <c r="DJ883" t="s">
        <v>236</v>
      </c>
      <c r="DM883" t="s">
        <v>212</v>
      </c>
    </row>
    <row r="884" spans="1:117" x14ac:dyDescent="0.3">
      <c r="A884">
        <v>26291531</v>
      </c>
      <c r="B884">
        <v>932668</v>
      </c>
      <c r="C884" t="str">
        <f>"081111554280"</f>
        <v>081111554280</v>
      </c>
      <c r="D884" t="s">
        <v>2137</v>
      </c>
      <c r="E884" t="s">
        <v>2138</v>
      </c>
      <c r="F884" t="s">
        <v>2139</v>
      </c>
      <c r="G884" s="1">
        <v>39763</v>
      </c>
      <c r="I884" t="s">
        <v>240</v>
      </c>
      <c r="J884" t="s">
        <v>200</v>
      </c>
      <c r="K884" t="s">
        <v>201</v>
      </c>
      <c r="Q884" t="s">
        <v>212</v>
      </c>
      <c r="R884" t="str">
        <f>"АНДОРРА, АСТАНА, АЛМАТЫ РАЙОН, 29, 2"</f>
        <v>АНДОРРА, АСТАНА, АЛМАТЫ РАЙОН, 29, 2</v>
      </c>
      <c r="S884" t="str">
        <f>"АНДОРРА, АСТАНА, АЛМАТЫ АУДАНЫ, 29, 2"</f>
        <v>АНДОРРА, АСТАНА, АЛМАТЫ АУДАНЫ, 29, 2</v>
      </c>
      <c r="T884" t="str">
        <f>"29, 2"</f>
        <v>29, 2</v>
      </c>
      <c r="U884" t="str">
        <f>"29, 2"</f>
        <v>29, 2</v>
      </c>
      <c r="AC884" t="str">
        <f>"2023-09-15T00:00:00"</f>
        <v>2023-09-15T00:00:00</v>
      </c>
      <c r="AD884" t="str">
        <f>"80"</f>
        <v>80</v>
      </c>
      <c r="AE884" t="str">
        <f>"2023-09-01T16:23:26"</f>
        <v>2023-09-01T16:23:26</v>
      </c>
      <c r="AF884" t="str">
        <f>"2024-05-25T16:23:26"</f>
        <v>2024-05-25T16:23:26</v>
      </c>
      <c r="AG884" t="s">
        <v>646</v>
      </c>
      <c r="AH884" t="str">
        <f>"aibek.qali@mail.ru"</f>
        <v>aibek.qali@mail.ru</v>
      </c>
      <c r="AI884" t="s">
        <v>274</v>
      </c>
      <c r="AJ884" t="s">
        <v>286</v>
      </c>
      <c r="AK884" t="s">
        <v>253</v>
      </c>
      <c r="AL884" t="s">
        <v>206</v>
      </c>
      <c r="AN884" t="s">
        <v>254</v>
      </c>
      <c r="AO884">
        <v>1</v>
      </c>
      <c r="AP884" t="s">
        <v>208</v>
      </c>
      <c r="AQ884" t="s">
        <v>209</v>
      </c>
      <c r="AR884" t="s">
        <v>210</v>
      </c>
      <c r="AW884" t="s">
        <v>206</v>
      </c>
      <c r="AX884" t="s">
        <v>211</v>
      </c>
      <c r="AZ884" t="s">
        <v>209</v>
      </c>
      <c r="BI884" t="s">
        <v>212</v>
      </c>
      <c r="BJ884" t="s">
        <v>213</v>
      </c>
      <c r="BK884" t="s">
        <v>214</v>
      </c>
      <c r="BL884" t="s">
        <v>357</v>
      </c>
      <c r="BN884" t="s">
        <v>247</v>
      </c>
      <c r="BO884" t="s">
        <v>209</v>
      </c>
      <c r="BP884" t="s">
        <v>241</v>
      </c>
      <c r="BQ884">
        <v>3</v>
      </c>
      <c r="BS884" t="s">
        <v>219</v>
      </c>
      <c r="BT884" t="s">
        <v>220</v>
      </c>
      <c r="BU884" t="s">
        <v>206</v>
      </c>
      <c r="CA884" t="s">
        <v>287</v>
      </c>
      <c r="CC884" t="s">
        <v>263</v>
      </c>
      <c r="CD884" t="s">
        <v>223</v>
      </c>
      <c r="CE884" t="s">
        <v>242</v>
      </c>
      <c r="CJ884" t="s">
        <v>206</v>
      </c>
      <c r="CK884" t="s">
        <v>230</v>
      </c>
      <c r="CL884" t="s">
        <v>231</v>
      </c>
      <c r="CM884" t="s">
        <v>232</v>
      </c>
      <c r="CN884" t="s">
        <v>233</v>
      </c>
      <c r="CP884" t="s">
        <v>212</v>
      </c>
      <c r="CQ884" t="s">
        <v>212</v>
      </c>
      <c r="CR884" t="s">
        <v>212</v>
      </c>
      <c r="CS884" t="s">
        <v>212</v>
      </c>
      <c r="CY884" t="s">
        <v>212</v>
      </c>
      <c r="DB884" t="s">
        <v>234</v>
      </c>
      <c r="DE884" t="s">
        <v>212</v>
      </c>
      <c r="DF884" t="s">
        <v>212</v>
      </c>
      <c r="DG884" t="s">
        <v>235</v>
      </c>
      <c r="DH884" t="s">
        <v>206</v>
      </c>
      <c r="DI884" t="s">
        <v>663</v>
      </c>
      <c r="DJ884" t="s">
        <v>664</v>
      </c>
      <c r="DK884" t="s">
        <v>422</v>
      </c>
      <c r="DL884" t="s">
        <v>423</v>
      </c>
      <c r="DM884" t="s">
        <v>206</v>
      </c>
    </row>
    <row r="885" spans="1:117" x14ac:dyDescent="0.3">
      <c r="A885">
        <v>26291535</v>
      </c>
      <c r="B885">
        <v>11779299</v>
      </c>
      <c r="C885" t="str">
        <f>"160716505117"</f>
        <v>160716505117</v>
      </c>
      <c r="D885" t="s">
        <v>2137</v>
      </c>
      <c r="E885" t="s">
        <v>1799</v>
      </c>
      <c r="F885" t="s">
        <v>2139</v>
      </c>
      <c r="G885" s="1">
        <v>42567</v>
      </c>
      <c r="I885" t="s">
        <v>240</v>
      </c>
      <c r="J885" t="s">
        <v>200</v>
      </c>
      <c r="K885" t="s">
        <v>201</v>
      </c>
      <c r="Q885" t="s">
        <v>212</v>
      </c>
      <c r="R885" t="str">
        <f>"КАЗАХСТАН, АКМОЛИНСКАЯ, АРШАЛЫНСКИЙ РАЙОН, АУЫЛДЫҚ ОКРУГІ Жибек жолы, АУЫЛЫ Жибек жолы, 44"</f>
        <v>КАЗАХСТАН, АКМОЛИНСКАЯ, АРШАЛЫНСКИЙ РАЙОН, АУЫЛДЫҚ ОКРУГІ Жибек жолы, АУЫЛЫ Жибек жолы, 44</v>
      </c>
      <c r="S885" t="str">
        <f>"ҚАЗАҚСТАН, АҚМОЛА, АРШАЛЫ АУДАНЫ, АУЫЛДЫҚ ОКРУГІ Жибек жолы, АУЫЛЫ Жибек жолы, 44"</f>
        <v>ҚАЗАҚСТАН, АҚМОЛА, АРШАЛЫ АУДАНЫ, АУЫЛДЫҚ ОКРУГІ Жибек жолы, АУЫЛЫ Жибек жолы, 44</v>
      </c>
      <c r="T885" t="str">
        <f>"АУЫЛДЫҚ ОКРУГІ Жибек жолы, АУЫЛЫ Жибек жолы, 44"</f>
        <v>АУЫЛДЫҚ ОКРУГІ Жибек жолы, АУЫЛЫ Жибек жолы, 44</v>
      </c>
      <c r="U885" t="str">
        <f>"АУЫЛДЫҚ ОКРУГІ Жибек жолы, АУЫЛЫ Жибек жолы, 44"</f>
        <v>АУЫЛДЫҚ ОКРУГІ Жибек жолы, АУЫЛЫ Жибек жолы, 44</v>
      </c>
      <c r="AC885" t="str">
        <f>"2023-10-13T00:00:00"</f>
        <v>2023-10-13T00:00:00</v>
      </c>
      <c r="AD885" t="str">
        <f>"90"</f>
        <v>90</v>
      </c>
      <c r="AE885" t="str">
        <f>"2023-09-01T16:07:17"</f>
        <v>2023-09-01T16:07:17</v>
      </c>
      <c r="AF885" t="str">
        <f>"2024-05-25T16:07:17"</f>
        <v>2024-05-25T16:07:17</v>
      </c>
      <c r="AG885" t="s">
        <v>646</v>
      </c>
      <c r="AI885" t="s">
        <v>274</v>
      </c>
      <c r="AJ885" t="s">
        <v>660</v>
      </c>
      <c r="AK885" t="s">
        <v>434</v>
      </c>
      <c r="AL885" t="s">
        <v>206</v>
      </c>
      <c r="AN885" t="s">
        <v>254</v>
      </c>
      <c r="AO885">
        <v>1</v>
      </c>
      <c r="AP885" t="s">
        <v>208</v>
      </c>
      <c r="AQ885" t="s">
        <v>209</v>
      </c>
      <c r="AR885" t="s">
        <v>502</v>
      </c>
      <c r="AW885" t="s">
        <v>212</v>
      </c>
      <c r="AZ885" t="s">
        <v>209</v>
      </c>
      <c r="BI885" t="s">
        <v>212</v>
      </c>
      <c r="BJ885" t="s">
        <v>213</v>
      </c>
      <c r="BK885" t="s">
        <v>214</v>
      </c>
      <c r="BL885" t="s">
        <v>357</v>
      </c>
      <c r="BN885" t="s">
        <v>661</v>
      </c>
      <c r="BO885" t="s">
        <v>209</v>
      </c>
      <c r="BS885" t="s">
        <v>220</v>
      </c>
      <c r="BU885" t="s">
        <v>212</v>
      </c>
      <c r="BZ885" t="s">
        <v>1504</v>
      </c>
      <c r="CA885" t="s">
        <v>287</v>
      </c>
      <c r="CC885" t="s">
        <v>871</v>
      </c>
      <c r="CD885" t="s">
        <v>223</v>
      </c>
      <c r="CE885" t="s">
        <v>242</v>
      </c>
      <c r="CJ885" t="s">
        <v>206</v>
      </c>
      <c r="CK885" t="s">
        <v>230</v>
      </c>
      <c r="CL885" t="s">
        <v>231</v>
      </c>
      <c r="CM885" t="s">
        <v>232</v>
      </c>
      <c r="CN885" t="s">
        <v>233</v>
      </c>
      <c r="CP885" t="s">
        <v>212</v>
      </c>
      <c r="CQ885" t="s">
        <v>212</v>
      </c>
      <c r="CR885" t="s">
        <v>212</v>
      </c>
      <c r="CS885" t="s">
        <v>212</v>
      </c>
      <c r="CY885" t="s">
        <v>212</v>
      </c>
      <c r="DB885" t="s">
        <v>653</v>
      </c>
      <c r="DC885" t="str">
        <f>"№2349423  Трудности   формирование чтение  и  письмо. Общее  недоразвитие речи 2 уровни"</f>
        <v>№2349423  Трудности   формирование чтение  и  письмо. Общее  недоразвитие речи 2 уровни</v>
      </c>
      <c r="DD885" t="str">
        <f>"2023-10-10T00:00:00"</f>
        <v>2023-10-10T00:00:00</v>
      </c>
      <c r="DE885" t="s">
        <v>212</v>
      </c>
      <c r="DF885" t="s">
        <v>206</v>
      </c>
      <c r="DG885" t="s">
        <v>235</v>
      </c>
      <c r="DH885" t="s">
        <v>206</v>
      </c>
      <c r="DI885" t="s">
        <v>663</v>
      </c>
      <c r="DJ885" t="s">
        <v>664</v>
      </c>
      <c r="DK885" t="s">
        <v>422</v>
      </c>
      <c r="DL885" t="s">
        <v>423</v>
      </c>
      <c r="DM885" t="s">
        <v>206</v>
      </c>
    </row>
    <row r="886" spans="1:117" x14ac:dyDescent="0.3">
      <c r="A886">
        <v>26291539</v>
      </c>
      <c r="B886">
        <v>11712541</v>
      </c>
      <c r="C886" t="str">
        <f>"150305504483"</f>
        <v>150305504483</v>
      </c>
      <c r="D886" t="s">
        <v>2137</v>
      </c>
      <c r="E886" t="s">
        <v>2140</v>
      </c>
      <c r="F886" t="s">
        <v>2139</v>
      </c>
      <c r="G886" s="1">
        <v>42068</v>
      </c>
      <c r="I886" t="s">
        <v>240</v>
      </c>
      <c r="J886" t="s">
        <v>200</v>
      </c>
      <c r="K886" t="s">
        <v>201</v>
      </c>
      <c r="Q886" t="s">
        <v>212</v>
      </c>
      <c r="R886" t="str">
        <f>"КАЗАХСТАН, АКМОЛИНСКАЯ, АРШАЛЫНСКИЙ РАЙОН, АУЫЛДЫҚ ОКРУГІ Жибек жолы, АУЫЛЫ Жибек жолы, 44"</f>
        <v>КАЗАХСТАН, АКМОЛИНСКАЯ, АРШАЛЫНСКИЙ РАЙОН, АУЫЛДЫҚ ОКРУГІ Жибек жолы, АУЫЛЫ Жибек жолы, 44</v>
      </c>
      <c r="S886" t="str">
        <f>"ҚАЗАҚСТАН, АҚМОЛА, АРШАЛЫ АУДАНЫ, АУЫЛДЫҚ ОКРУГІ Жибек жолы, АУЫЛЫ Жибек жолы, 44"</f>
        <v>ҚАЗАҚСТАН, АҚМОЛА, АРШАЛЫ АУДАНЫ, АУЫЛДЫҚ ОКРУГІ Жибек жолы, АУЫЛЫ Жибек жолы, 44</v>
      </c>
      <c r="T886" t="str">
        <f>"АУЫЛДЫҚ ОКРУГІ Жибек жолы, АУЫЛЫ Жибек жолы, 44"</f>
        <v>АУЫЛДЫҚ ОКРУГІ Жибек жолы, АУЫЛЫ Жибек жолы, 44</v>
      </c>
      <c r="U886" t="str">
        <f>"АУЫЛДЫҚ ОКРУГІ Жибек жолы, АУЫЛЫ Жибек жолы, 44"</f>
        <v>АУЫЛДЫҚ ОКРУГІ Жибек жолы, АУЫЛЫ Жибек жолы, 44</v>
      </c>
      <c r="AC886" t="str">
        <f>"2023-07-15T00:00:00"</f>
        <v>2023-07-15T00:00:00</v>
      </c>
      <c r="AD886" t="str">
        <f>"80"</f>
        <v>80</v>
      </c>
      <c r="AE886" t="str">
        <f>"2023-09-01T16:21:18"</f>
        <v>2023-09-01T16:21:18</v>
      </c>
      <c r="AF886" t="str">
        <f>"2024-05-25T16:21:18"</f>
        <v>2024-05-25T16:21:18</v>
      </c>
      <c r="AG886" t="s">
        <v>646</v>
      </c>
      <c r="AI886" t="s">
        <v>274</v>
      </c>
      <c r="AJ886" t="s">
        <v>540</v>
      </c>
      <c r="AK886" t="s">
        <v>253</v>
      </c>
      <c r="AL886" t="s">
        <v>206</v>
      </c>
      <c r="AN886" t="s">
        <v>254</v>
      </c>
      <c r="AO886">
        <v>2</v>
      </c>
      <c r="AP886" t="s">
        <v>208</v>
      </c>
      <c r="AQ886" t="s">
        <v>209</v>
      </c>
      <c r="AR886" t="s">
        <v>502</v>
      </c>
      <c r="AW886" t="s">
        <v>212</v>
      </c>
      <c r="AZ886" t="s">
        <v>209</v>
      </c>
      <c r="BI886" t="s">
        <v>212</v>
      </c>
      <c r="BJ886" t="s">
        <v>213</v>
      </c>
      <c r="BK886" t="s">
        <v>214</v>
      </c>
      <c r="BL886" t="s">
        <v>357</v>
      </c>
      <c r="BN886" t="s">
        <v>247</v>
      </c>
      <c r="BO886" t="s">
        <v>209</v>
      </c>
      <c r="BP886" t="s">
        <v>241</v>
      </c>
      <c r="BQ886">
        <v>3</v>
      </c>
      <c r="BS886" t="s">
        <v>219</v>
      </c>
      <c r="BT886" t="s">
        <v>220</v>
      </c>
      <c r="BU886" t="s">
        <v>206</v>
      </c>
      <c r="BZ886" t="s">
        <v>541</v>
      </c>
      <c r="CA886" t="s">
        <v>287</v>
      </c>
      <c r="CC886" t="s">
        <v>209</v>
      </c>
      <c r="CE886" t="s">
        <v>242</v>
      </c>
      <c r="CJ886" t="s">
        <v>206</v>
      </c>
      <c r="CK886" t="s">
        <v>230</v>
      </c>
      <c r="CL886" t="s">
        <v>231</v>
      </c>
      <c r="CM886" t="s">
        <v>232</v>
      </c>
      <c r="CN886" t="s">
        <v>233</v>
      </c>
      <c r="CP886" t="s">
        <v>212</v>
      </c>
      <c r="CQ886" t="s">
        <v>212</v>
      </c>
      <c r="CR886" t="s">
        <v>212</v>
      </c>
      <c r="CS886" t="s">
        <v>212</v>
      </c>
      <c r="CY886" t="s">
        <v>212</v>
      </c>
      <c r="DB886" t="s">
        <v>234</v>
      </c>
      <c r="DE886" t="s">
        <v>212</v>
      </c>
      <c r="DF886" t="s">
        <v>212</v>
      </c>
      <c r="DG886" t="s">
        <v>235</v>
      </c>
      <c r="DH886" t="s">
        <v>206</v>
      </c>
      <c r="DI886" t="s">
        <v>663</v>
      </c>
      <c r="DJ886" t="s">
        <v>664</v>
      </c>
      <c r="DK886" t="s">
        <v>422</v>
      </c>
      <c r="DL886" t="s">
        <v>423</v>
      </c>
      <c r="DM886" t="s">
        <v>206</v>
      </c>
    </row>
    <row r="887" spans="1:117" x14ac:dyDescent="0.3">
      <c r="A887">
        <v>26515859</v>
      </c>
      <c r="B887">
        <v>314878</v>
      </c>
      <c r="C887" t="str">
        <f>"100717551105"</f>
        <v>100717551105</v>
      </c>
      <c r="D887" t="s">
        <v>686</v>
      </c>
      <c r="E887" t="s">
        <v>2141</v>
      </c>
      <c r="F887" t="s">
        <v>723</v>
      </c>
      <c r="G887" s="1">
        <v>40376</v>
      </c>
      <c r="I887" t="s">
        <v>240</v>
      </c>
      <c r="J887" t="s">
        <v>200</v>
      </c>
      <c r="K887" t="s">
        <v>201</v>
      </c>
      <c r="R887" t="str">
        <f>"АНДОРРА, АКМОЛИНСКАЯ, СТЕПНОГОРСК, 24, 38"</f>
        <v>АНДОРРА, АКМОЛИНСКАЯ, СТЕПНОГОРСК, 24, 38</v>
      </c>
      <c r="S887" t="str">
        <f>"АНДОРРА, АҚМОЛА, СТЕПНОГОР, 24, 38"</f>
        <v>АНДОРРА, АҚМОЛА, СТЕПНОГОР, 24, 38</v>
      </c>
      <c r="T887" t="str">
        <f>"24, 38"</f>
        <v>24, 38</v>
      </c>
      <c r="U887" t="str">
        <f>"24, 38"</f>
        <v>24, 38</v>
      </c>
      <c r="AC887" t="str">
        <f>"2023-09-21T00:00:00"</f>
        <v>2023-09-21T00:00:00</v>
      </c>
      <c r="AD887" t="str">
        <f>"85"</f>
        <v>85</v>
      </c>
      <c r="AG887" t="s">
        <v>333</v>
      </c>
      <c r="AI887" t="s">
        <v>269</v>
      </c>
      <c r="AJ887" t="s">
        <v>300</v>
      </c>
      <c r="AK887" t="s">
        <v>253</v>
      </c>
      <c r="AL887" t="s">
        <v>206</v>
      </c>
      <c r="AN887" t="s">
        <v>254</v>
      </c>
      <c r="AO887">
        <v>1</v>
      </c>
      <c r="AP887" t="s">
        <v>208</v>
      </c>
      <c r="AQ887" t="s">
        <v>209</v>
      </c>
      <c r="AR887" t="s">
        <v>210</v>
      </c>
      <c r="AW887" t="s">
        <v>206</v>
      </c>
      <c r="AX887" t="s">
        <v>211</v>
      </c>
      <c r="AZ887" t="s">
        <v>209</v>
      </c>
      <c r="BI887" t="s">
        <v>212</v>
      </c>
      <c r="BJ887" t="s">
        <v>213</v>
      </c>
      <c r="BK887" t="s">
        <v>214</v>
      </c>
      <c r="BL887" t="s">
        <v>215</v>
      </c>
      <c r="BN887" t="s">
        <v>216</v>
      </c>
      <c r="BO887" t="s">
        <v>209</v>
      </c>
      <c r="BP887" t="s">
        <v>241</v>
      </c>
      <c r="BQ887">
        <v>4</v>
      </c>
      <c r="BS887" t="s">
        <v>219</v>
      </c>
      <c r="BT887" t="s">
        <v>220</v>
      </c>
      <c r="BU887" t="s">
        <v>206</v>
      </c>
      <c r="CA887" t="s">
        <v>287</v>
      </c>
      <c r="CC887" t="s">
        <v>222</v>
      </c>
      <c r="CD887" t="s">
        <v>223</v>
      </c>
      <c r="CE887" t="s">
        <v>242</v>
      </c>
      <c r="CJ887" t="s">
        <v>206</v>
      </c>
      <c r="CK887" t="s">
        <v>230</v>
      </c>
      <c r="CL887" t="s">
        <v>231</v>
      </c>
      <c r="CM887" t="s">
        <v>232</v>
      </c>
      <c r="CN887" t="s">
        <v>233</v>
      </c>
      <c r="CP887" t="s">
        <v>212</v>
      </c>
      <c r="CQ887" t="s">
        <v>212</v>
      </c>
      <c r="CR887" t="s">
        <v>212</v>
      </c>
      <c r="CS887" t="s">
        <v>212</v>
      </c>
      <c r="CY887" t="s">
        <v>212</v>
      </c>
      <c r="DB887" t="s">
        <v>234</v>
      </c>
      <c r="DE887" t="s">
        <v>212</v>
      </c>
      <c r="DF887" t="s">
        <v>212</v>
      </c>
      <c r="DG887" t="s">
        <v>235</v>
      </c>
      <c r="DH887" t="s">
        <v>212</v>
      </c>
      <c r="DJ887" t="s">
        <v>236</v>
      </c>
      <c r="DM887" t="s">
        <v>212</v>
      </c>
    </row>
    <row r="888" spans="1:117" x14ac:dyDescent="0.3">
      <c r="A888">
        <v>26519815</v>
      </c>
      <c r="B888">
        <v>9138812</v>
      </c>
      <c r="C888" t="str">
        <f>"171023501974"</f>
        <v>171023501974</v>
      </c>
      <c r="D888" t="s">
        <v>428</v>
      </c>
      <c r="E888" t="s">
        <v>1494</v>
      </c>
      <c r="F888" t="s">
        <v>645</v>
      </c>
      <c r="G888" s="1">
        <v>43031</v>
      </c>
      <c r="I888" t="s">
        <v>240</v>
      </c>
      <c r="J888" t="s">
        <v>200</v>
      </c>
      <c r="K888" t="s">
        <v>201</v>
      </c>
      <c r="Q888" t="s">
        <v>212</v>
      </c>
      <c r="R888" t="str">
        <f>"КАЗАХСТАН, АКМОЛИНСКАЯ, РАЙОН БИРЖАН САЛ, Степняк, 32, 18"</f>
        <v>КАЗАХСТАН, АКМОЛИНСКАЯ, РАЙОН БИРЖАН САЛ, Степняк, 32, 18</v>
      </c>
      <c r="S888" t="str">
        <f>"ҚАЗАҚСТАН, АҚМОЛА, БІРЖАН САЛ АУДАНЫ, Степняк, 32, 18"</f>
        <v>ҚАЗАҚСТАН, АҚМОЛА, БІРЖАН САЛ АУДАНЫ, Степняк, 32, 18</v>
      </c>
      <c r="T888" t="str">
        <f>"Степняк, 32, 18"</f>
        <v>Степняк, 32, 18</v>
      </c>
      <c r="U888" t="str">
        <f>"Степняк, 32, 18"</f>
        <v>Степняк, 32, 18</v>
      </c>
      <c r="AC888" t="str">
        <f>"2023-09-18T00:00:00"</f>
        <v>2023-09-18T00:00:00</v>
      </c>
      <c r="AD888" t="str">
        <f>"82\\1"</f>
        <v>82\\1</v>
      </c>
      <c r="AG888" t="s">
        <v>333</v>
      </c>
      <c r="AI888" t="s">
        <v>274</v>
      </c>
      <c r="AJ888" t="s">
        <v>1298</v>
      </c>
      <c r="AK888" t="s">
        <v>253</v>
      </c>
      <c r="AL888" t="s">
        <v>206</v>
      </c>
      <c r="AN888" t="s">
        <v>254</v>
      </c>
      <c r="AO888">
        <v>2</v>
      </c>
      <c r="AP888" t="s">
        <v>208</v>
      </c>
      <c r="AQ888" t="s">
        <v>209</v>
      </c>
      <c r="AR888" t="s">
        <v>502</v>
      </c>
      <c r="AW888" t="s">
        <v>212</v>
      </c>
      <c r="AZ888" t="s">
        <v>209</v>
      </c>
      <c r="BI888" t="s">
        <v>212</v>
      </c>
      <c r="BJ888" t="s">
        <v>213</v>
      </c>
      <c r="BK888" t="s">
        <v>214</v>
      </c>
      <c r="BL888" t="s">
        <v>215</v>
      </c>
      <c r="BN888" t="s">
        <v>661</v>
      </c>
      <c r="BO888" t="s">
        <v>209</v>
      </c>
      <c r="BS888" t="s">
        <v>220</v>
      </c>
      <c r="BX888" t="s">
        <v>221</v>
      </c>
      <c r="BY888" t="s">
        <v>221</v>
      </c>
      <c r="CA888" t="s">
        <v>287</v>
      </c>
      <c r="CC888" t="s">
        <v>209</v>
      </c>
      <c r="CE888" t="s">
        <v>242</v>
      </c>
      <c r="CJ888" t="s">
        <v>206</v>
      </c>
      <c r="CK888" t="s">
        <v>230</v>
      </c>
      <c r="CL888" t="s">
        <v>231</v>
      </c>
      <c r="CM888" t="s">
        <v>232</v>
      </c>
      <c r="CN888" t="s">
        <v>233</v>
      </c>
      <c r="CP888" t="s">
        <v>212</v>
      </c>
      <c r="CQ888" t="s">
        <v>212</v>
      </c>
      <c r="CR888" t="s">
        <v>212</v>
      </c>
      <c r="CS888" t="s">
        <v>212</v>
      </c>
      <c r="CY888" t="s">
        <v>212</v>
      </c>
      <c r="DB888" t="s">
        <v>234</v>
      </c>
      <c r="DE888" t="s">
        <v>212</v>
      </c>
      <c r="DF888" t="s">
        <v>212</v>
      </c>
      <c r="DG888" t="s">
        <v>235</v>
      </c>
      <c r="DH888" t="s">
        <v>212</v>
      </c>
      <c r="DI888" t="s">
        <v>1026</v>
      </c>
      <c r="DJ888" t="s">
        <v>421</v>
      </c>
      <c r="DK888" t="s">
        <v>707</v>
      </c>
      <c r="DL888" t="s">
        <v>423</v>
      </c>
      <c r="DM888" t="s">
        <v>206</v>
      </c>
    </row>
    <row r="889" spans="1:117" x14ac:dyDescent="0.3">
      <c r="A889">
        <v>26520366</v>
      </c>
      <c r="B889">
        <v>807108</v>
      </c>
      <c r="C889" t="str">
        <f>"151118502251"</f>
        <v>151118502251</v>
      </c>
      <c r="D889" t="s">
        <v>2142</v>
      </c>
      <c r="E889" t="s">
        <v>860</v>
      </c>
      <c r="F889" t="s">
        <v>2093</v>
      </c>
      <c r="G889" s="1">
        <v>42326</v>
      </c>
      <c r="I889" t="s">
        <v>240</v>
      </c>
      <c r="J889" t="s">
        <v>200</v>
      </c>
      <c r="K889" t="s">
        <v>268</v>
      </c>
      <c r="Q889" t="s">
        <v>212</v>
      </c>
      <c r="R889" t="str">
        <f>"КАЗАХСТАН, АКМОЛИНСКАЯ, СТЕПНОГОРСК, 29, 30"</f>
        <v>КАЗАХСТАН, АКМОЛИНСКАЯ, СТЕПНОГОРСК, 29, 30</v>
      </c>
      <c r="S889" t="str">
        <f>"ҚАЗАҚСТАН, АҚМОЛА, СТЕПНОГОР, 29, 30"</f>
        <v>ҚАЗАҚСТАН, АҚМОЛА, СТЕПНОГОР, 29, 30</v>
      </c>
      <c r="T889" t="str">
        <f>"29, 30"</f>
        <v>29, 30</v>
      </c>
      <c r="U889" t="str">
        <f>"29, 30"</f>
        <v>29, 30</v>
      </c>
      <c r="AC889" t="str">
        <f>"2023-09-18T00:00:00"</f>
        <v>2023-09-18T00:00:00</v>
      </c>
      <c r="AD889" t="str">
        <f>"83/1"</f>
        <v>83/1</v>
      </c>
      <c r="AG889" t="s">
        <v>333</v>
      </c>
      <c r="AI889" t="s">
        <v>274</v>
      </c>
      <c r="AJ889" t="s">
        <v>660</v>
      </c>
      <c r="AK889" t="s">
        <v>246</v>
      </c>
      <c r="AL889" t="s">
        <v>206</v>
      </c>
      <c r="AN889" t="s">
        <v>207</v>
      </c>
      <c r="AO889">
        <v>1</v>
      </c>
      <c r="AP889" t="s">
        <v>208</v>
      </c>
      <c r="AQ889" t="s">
        <v>209</v>
      </c>
      <c r="AR889" t="s">
        <v>502</v>
      </c>
      <c r="AW889" t="s">
        <v>212</v>
      </c>
      <c r="AZ889" t="s">
        <v>209</v>
      </c>
      <c r="BI889" t="s">
        <v>212</v>
      </c>
      <c r="BJ889" t="s">
        <v>213</v>
      </c>
      <c r="BK889" t="s">
        <v>214</v>
      </c>
      <c r="BL889" t="s">
        <v>357</v>
      </c>
      <c r="BN889" t="s">
        <v>661</v>
      </c>
      <c r="BO889" t="s">
        <v>209</v>
      </c>
      <c r="BS889" t="s">
        <v>220</v>
      </c>
      <c r="BU889" t="s">
        <v>212</v>
      </c>
      <c r="BX889" t="s">
        <v>234</v>
      </c>
      <c r="BY889" t="s">
        <v>234</v>
      </c>
      <c r="BZ889" t="s">
        <v>662</v>
      </c>
      <c r="CA889" t="s">
        <v>287</v>
      </c>
      <c r="CC889" t="s">
        <v>209</v>
      </c>
      <c r="CE889" t="s">
        <v>242</v>
      </c>
      <c r="CJ889" t="s">
        <v>206</v>
      </c>
      <c r="CK889" t="s">
        <v>230</v>
      </c>
      <c r="CL889" t="s">
        <v>231</v>
      </c>
      <c r="CM889" t="s">
        <v>232</v>
      </c>
      <c r="CN889" t="s">
        <v>233</v>
      </c>
      <c r="CP889" t="s">
        <v>212</v>
      </c>
      <c r="CQ889" t="s">
        <v>212</v>
      </c>
      <c r="CR889" t="s">
        <v>212</v>
      </c>
      <c r="CS889" t="s">
        <v>212</v>
      </c>
      <c r="CY889" t="s">
        <v>212</v>
      </c>
      <c r="DB889" t="s">
        <v>234</v>
      </c>
      <c r="DE889" t="s">
        <v>212</v>
      </c>
      <c r="DF889" t="s">
        <v>212</v>
      </c>
      <c r="DG889" t="s">
        <v>235</v>
      </c>
      <c r="DH889" t="s">
        <v>212</v>
      </c>
      <c r="DJ889" t="s">
        <v>236</v>
      </c>
      <c r="DM889" t="s">
        <v>212</v>
      </c>
    </row>
    <row r="890" spans="1:117" x14ac:dyDescent="0.3">
      <c r="A890">
        <v>26590948</v>
      </c>
      <c r="B890">
        <v>13492927</v>
      </c>
      <c r="C890" t="str">
        <f>"180917603202"</f>
        <v>180917603202</v>
      </c>
      <c r="D890" t="s">
        <v>2143</v>
      </c>
      <c r="E890" t="s">
        <v>2144</v>
      </c>
      <c r="F890" t="s">
        <v>2145</v>
      </c>
      <c r="G890" s="1">
        <v>43360</v>
      </c>
      <c r="I890" t="s">
        <v>199</v>
      </c>
      <c r="J890" t="s">
        <v>200</v>
      </c>
      <c r="K890" t="s">
        <v>201</v>
      </c>
      <c r="Q890" t="s">
        <v>212</v>
      </c>
      <c r="R890" t="str">
        <f>"КАЗАХСТАН, АКМОЛИНСКАЯ, СТЕПНОГОРСК, 12, 51"</f>
        <v>КАЗАХСТАН, АКМОЛИНСКАЯ, СТЕПНОГОРСК, 12, 51</v>
      </c>
      <c r="S890" t="str">
        <f>"ҚАЗАҚСТАН, АҚМОЛА, СТЕПНОГОР, 12, 51"</f>
        <v>ҚАЗАҚСТАН, АҚМОЛА, СТЕПНОГОР, 12, 51</v>
      </c>
      <c r="T890" t="str">
        <f>"12, 51"</f>
        <v>12, 51</v>
      </c>
      <c r="U890" t="str">
        <f>"12, 51"</f>
        <v>12, 51</v>
      </c>
      <c r="AC890" t="str">
        <f>"2023-09-18T00:00:00"</f>
        <v>2023-09-18T00:00:00</v>
      </c>
      <c r="AD890" t="str">
        <f>"85"</f>
        <v>85</v>
      </c>
      <c r="AG890" t="s">
        <v>333</v>
      </c>
      <c r="AI890" t="s">
        <v>274</v>
      </c>
      <c r="AJ890" t="s">
        <v>1298</v>
      </c>
      <c r="AK890" t="s">
        <v>253</v>
      </c>
      <c r="AL890" t="s">
        <v>206</v>
      </c>
      <c r="AN890" t="s">
        <v>254</v>
      </c>
      <c r="AO890">
        <v>2</v>
      </c>
      <c r="AP890" t="s">
        <v>208</v>
      </c>
      <c r="AQ890" t="s">
        <v>209</v>
      </c>
      <c r="AR890" t="s">
        <v>502</v>
      </c>
      <c r="AW890" t="s">
        <v>212</v>
      </c>
      <c r="AZ890" t="s">
        <v>209</v>
      </c>
      <c r="BI890" t="s">
        <v>212</v>
      </c>
      <c r="BJ890" t="s">
        <v>213</v>
      </c>
      <c r="BK890" t="s">
        <v>214</v>
      </c>
      <c r="BL890" t="s">
        <v>215</v>
      </c>
      <c r="BN890" t="s">
        <v>661</v>
      </c>
      <c r="BO890" t="s">
        <v>209</v>
      </c>
      <c r="BS890" t="s">
        <v>220</v>
      </c>
      <c r="CA890" t="s">
        <v>287</v>
      </c>
      <c r="CC890" t="s">
        <v>209</v>
      </c>
      <c r="CE890" t="s">
        <v>242</v>
      </c>
      <c r="CJ890" t="s">
        <v>206</v>
      </c>
      <c r="CK890" t="s">
        <v>230</v>
      </c>
      <c r="CL890" t="s">
        <v>231</v>
      </c>
      <c r="CM890" t="s">
        <v>232</v>
      </c>
      <c r="CN890" t="s">
        <v>233</v>
      </c>
      <c r="CP890" t="s">
        <v>212</v>
      </c>
      <c r="CQ890" t="s">
        <v>212</v>
      </c>
      <c r="CR890" t="s">
        <v>212</v>
      </c>
      <c r="CS890" t="s">
        <v>212</v>
      </c>
      <c r="CY890" t="s">
        <v>212</v>
      </c>
      <c r="DB890" t="s">
        <v>234</v>
      </c>
      <c r="DE890" t="s">
        <v>212</v>
      </c>
      <c r="DF890" t="s">
        <v>212</v>
      </c>
      <c r="DG890" t="s">
        <v>235</v>
      </c>
      <c r="DH890" t="s">
        <v>212</v>
      </c>
      <c r="DJ890" t="s">
        <v>236</v>
      </c>
      <c r="DM890" t="s">
        <v>212</v>
      </c>
    </row>
    <row r="891" spans="1:117" x14ac:dyDescent="0.3">
      <c r="A891">
        <v>26778266</v>
      </c>
      <c r="B891">
        <v>13535922</v>
      </c>
      <c r="C891" t="str">
        <f>"170511601960"</f>
        <v>170511601960</v>
      </c>
      <c r="D891" t="s">
        <v>701</v>
      </c>
      <c r="E891" t="s">
        <v>446</v>
      </c>
      <c r="F891" t="s">
        <v>703</v>
      </c>
      <c r="G891" s="1">
        <v>42866</v>
      </c>
      <c r="I891" t="s">
        <v>199</v>
      </c>
      <c r="J891" t="s">
        <v>200</v>
      </c>
      <c r="K891" t="s">
        <v>374</v>
      </c>
      <c r="Q891" t="s">
        <v>212</v>
      </c>
      <c r="R891" t="str">
        <f>"КАЗАХСТАН, АКМОЛИНСКАЯ, СТЕПНОГОРСК, КЕНТI Аксу, 4, 7"</f>
        <v>КАЗАХСТАН, АКМОЛИНСКАЯ, СТЕПНОГОРСК, КЕНТI Аксу, 4, 7</v>
      </c>
      <c r="S891" t="str">
        <f>"ҚАЗАҚСТАН, АҚМОЛА, СТЕПНОГОР, КЕНТI Аксу, 4, 7"</f>
        <v>ҚАЗАҚСТАН, АҚМОЛА, СТЕПНОГОР, КЕНТI Аксу, 4, 7</v>
      </c>
      <c r="T891" t="str">
        <f>"КЕНТI Аксу, 4, 7"</f>
        <v>КЕНТI Аксу, 4, 7</v>
      </c>
      <c r="U891" t="str">
        <f>"КЕНТI Аксу, 4, 7"</f>
        <v>КЕНТI Аксу, 4, 7</v>
      </c>
      <c r="AC891" t="str">
        <f>"2023-10-13T00:00:00"</f>
        <v>2023-10-13T00:00:00</v>
      </c>
      <c r="AD891" t="str">
        <f>"90/1"</f>
        <v>90/1</v>
      </c>
      <c r="AG891" t="s">
        <v>202</v>
      </c>
      <c r="AI891" t="s">
        <v>274</v>
      </c>
      <c r="AJ891" t="s">
        <v>1298</v>
      </c>
      <c r="AK891" t="s">
        <v>205</v>
      </c>
      <c r="AL891" t="s">
        <v>206</v>
      </c>
      <c r="AN891" t="s">
        <v>207</v>
      </c>
      <c r="AO891">
        <v>2</v>
      </c>
      <c r="AP891" t="s">
        <v>208</v>
      </c>
      <c r="AQ891" t="s">
        <v>209</v>
      </c>
      <c r="AR891" t="s">
        <v>502</v>
      </c>
      <c r="AW891" t="s">
        <v>212</v>
      </c>
      <c r="AZ891" t="s">
        <v>209</v>
      </c>
      <c r="BI891" t="s">
        <v>212</v>
      </c>
      <c r="BJ891" t="s">
        <v>213</v>
      </c>
      <c r="BK891" t="s">
        <v>214</v>
      </c>
      <c r="BL891" t="s">
        <v>215</v>
      </c>
      <c r="BN891" t="s">
        <v>661</v>
      </c>
      <c r="BO891" t="s">
        <v>209</v>
      </c>
      <c r="BS891" t="s">
        <v>220</v>
      </c>
      <c r="BX891" t="s">
        <v>234</v>
      </c>
      <c r="BY891" t="s">
        <v>234</v>
      </c>
      <c r="CA891" t="s">
        <v>287</v>
      </c>
      <c r="CC891" t="s">
        <v>209</v>
      </c>
      <c r="CE891" t="s">
        <v>242</v>
      </c>
      <c r="CJ891" t="s">
        <v>206</v>
      </c>
      <c r="CK891" t="s">
        <v>230</v>
      </c>
      <c r="CL891" t="s">
        <v>231</v>
      </c>
      <c r="CM891" t="s">
        <v>232</v>
      </c>
      <c r="CN891" t="s">
        <v>233</v>
      </c>
      <c r="CP891" t="s">
        <v>212</v>
      </c>
      <c r="CQ891" t="s">
        <v>212</v>
      </c>
      <c r="CR891" t="s">
        <v>212</v>
      </c>
      <c r="CS891" t="s">
        <v>212</v>
      </c>
      <c r="CY891" t="s">
        <v>212</v>
      </c>
      <c r="DB891" t="s">
        <v>234</v>
      </c>
      <c r="DE891" t="s">
        <v>212</v>
      </c>
      <c r="DF891" t="s">
        <v>212</v>
      </c>
      <c r="DG891" t="s">
        <v>235</v>
      </c>
      <c r="DH891" t="s">
        <v>212</v>
      </c>
      <c r="DJ891" t="s">
        <v>421</v>
      </c>
      <c r="DK891" t="s">
        <v>707</v>
      </c>
      <c r="DM891" t="s">
        <v>206</v>
      </c>
    </row>
    <row r="892" spans="1:117" x14ac:dyDescent="0.3">
      <c r="A892">
        <v>26789841</v>
      </c>
      <c r="B892">
        <v>9892165</v>
      </c>
      <c r="C892" t="str">
        <f>"180807504918"</f>
        <v>180807504918</v>
      </c>
      <c r="D892" t="s">
        <v>1897</v>
      </c>
      <c r="E892" t="s">
        <v>944</v>
      </c>
      <c r="F892" t="s">
        <v>1899</v>
      </c>
      <c r="G892" s="1">
        <v>43319</v>
      </c>
      <c r="I892" t="s">
        <v>240</v>
      </c>
      <c r="J892" t="s">
        <v>200</v>
      </c>
      <c r="K892" t="s">
        <v>201</v>
      </c>
      <c r="Q892" t="s">
        <v>212</v>
      </c>
      <c r="R892" t="str">
        <f>"КАЗАХСТАН, АКМОЛИНСКАЯ, СТЕПНОГОРСК, 19, 4"</f>
        <v>КАЗАХСТАН, АКМОЛИНСКАЯ, СТЕПНОГОРСК, 19, 4</v>
      </c>
      <c r="S892" t="str">
        <f>"ҚАЗАҚСТАН, АҚМОЛА, СТЕПНОГОР, 19, 4"</f>
        <v>ҚАЗАҚСТАН, АҚМОЛА, СТЕПНОГОР, 19, 4</v>
      </c>
      <c r="T892" t="str">
        <f>"19, 4"</f>
        <v>19, 4</v>
      </c>
      <c r="U892" t="str">
        <f>"19, 4"</f>
        <v>19, 4</v>
      </c>
      <c r="AC892" t="str">
        <f>"2023-10-09T00:00:00"</f>
        <v>2023-10-09T00:00:00</v>
      </c>
      <c r="AD892" t="str">
        <f>"89/1"</f>
        <v>89/1</v>
      </c>
      <c r="AG892" t="s">
        <v>202</v>
      </c>
      <c r="AI892" t="s">
        <v>269</v>
      </c>
      <c r="AJ892" t="s">
        <v>1298</v>
      </c>
      <c r="AK892" t="s">
        <v>253</v>
      </c>
      <c r="AL892" t="s">
        <v>206</v>
      </c>
      <c r="AN892" t="s">
        <v>254</v>
      </c>
      <c r="AO892">
        <v>2</v>
      </c>
      <c r="AP892" t="s">
        <v>208</v>
      </c>
      <c r="AQ892" t="s">
        <v>209</v>
      </c>
      <c r="AR892" t="s">
        <v>502</v>
      </c>
      <c r="AW892" t="s">
        <v>212</v>
      </c>
      <c r="AZ892" t="s">
        <v>209</v>
      </c>
      <c r="BI892" t="s">
        <v>212</v>
      </c>
      <c r="BJ892" t="s">
        <v>213</v>
      </c>
      <c r="BK892" t="s">
        <v>214</v>
      </c>
      <c r="BL892" t="s">
        <v>215</v>
      </c>
      <c r="BN892" t="s">
        <v>661</v>
      </c>
      <c r="BO892" t="s">
        <v>209</v>
      </c>
      <c r="BS892" t="s">
        <v>220</v>
      </c>
      <c r="CA892" t="s">
        <v>287</v>
      </c>
      <c r="CC892" t="s">
        <v>209</v>
      </c>
      <c r="CE892" t="s">
        <v>242</v>
      </c>
      <c r="CJ892" t="s">
        <v>206</v>
      </c>
      <c r="CK892" t="s">
        <v>230</v>
      </c>
      <c r="CL892" t="s">
        <v>231</v>
      </c>
      <c r="CM892" t="s">
        <v>232</v>
      </c>
      <c r="CN892" t="s">
        <v>233</v>
      </c>
      <c r="CP892" t="s">
        <v>212</v>
      </c>
      <c r="CQ892" t="s">
        <v>212</v>
      </c>
      <c r="CR892" t="s">
        <v>212</v>
      </c>
      <c r="CS892" t="s">
        <v>212</v>
      </c>
      <c r="CY892" t="s">
        <v>212</v>
      </c>
      <c r="DB892" t="s">
        <v>234</v>
      </c>
      <c r="DE892" t="s">
        <v>212</v>
      </c>
      <c r="DF892" t="s">
        <v>212</v>
      </c>
      <c r="DG892" t="s">
        <v>235</v>
      </c>
      <c r="DH892" t="s">
        <v>212</v>
      </c>
      <c r="DJ892" t="s">
        <v>236</v>
      </c>
      <c r="DM892" t="s">
        <v>212</v>
      </c>
    </row>
    <row r="893" spans="1:117" x14ac:dyDescent="0.3">
      <c r="A893">
        <v>26828416</v>
      </c>
      <c r="B893">
        <v>766937</v>
      </c>
      <c r="C893" t="str">
        <f>"130621506619"</f>
        <v>130621506619</v>
      </c>
      <c r="D893" t="s">
        <v>2146</v>
      </c>
      <c r="E893" t="s">
        <v>1663</v>
      </c>
      <c r="F893" t="s">
        <v>1194</v>
      </c>
      <c r="G893" s="1">
        <v>41446</v>
      </c>
      <c r="I893" t="s">
        <v>240</v>
      </c>
      <c r="J893" t="s">
        <v>200</v>
      </c>
      <c r="K893" t="s">
        <v>201</v>
      </c>
      <c r="L893" t="s">
        <v>212</v>
      </c>
      <c r="Q893" t="s">
        <v>212</v>
      </c>
      <c r="R893" t="str">
        <f>"КАЗАХСТАН, АКМОЛИНСКАЯ, СТЕПНОГОРСК, -, 46, 5"</f>
        <v>КАЗАХСТАН, АКМОЛИНСКАЯ, СТЕПНОГОРСК, -, 46, 5</v>
      </c>
      <c r="S893" t="str">
        <f>"ҚАЗАҚСТАН, АҚМОЛА, СТЕПНОГОР, -, 46, 5"</f>
        <v>ҚАЗАҚСТАН, АҚМОЛА, СТЕПНОГОР, -, 46, 5</v>
      </c>
      <c r="T893" t="str">
        <f>"-, 46, 5"</f>
        <v>-, 46, 5</v>
      </c>
      <c r="U893" t="str">
        <f>"-, 46, 5"</f>
        <v>-, 46, 5</v>
      </c>
      <c r="AC893" t="str">
        <f>"2023-10-31T00:00:00"</f>
        <v>2023-10-31T00:00:00</v>
      </c>
      <c r="AD893" t="str">
        <f>"94"</f>
        <v>94</v>
      </c>
      <c r="AG893" t="s">
        <v>202</v>
      </c>
      <c r="AI893" t="s">
        <v>274</v>
      </c>
      <c r="AJ893" t="s">
        <v>570</v>
      </c>
      <c r="AK893" t="s">
        <v>246</v>
      </c>
      <c r="AL893" t="s">
        <v>206</v>
      </c>
      <c r="AN893" t="s">
        <v>207</v>
      </c>
      <c r="AO893">
        <v>1</v>
      </c>
      <c r="AP893" t="s">
        <v>208</v>
      </c>
      <c r="AQ893" t="s">
        <v>209</v>
      </c>
      <c r="AR893" t="s">
        <v>502</v>
      </c>
      <c r="AW893" t="s">
        <v>212</v>
      </c>
      <c r="AZ893" t="s">
        <v>209</v>
      </c>
      <c r="BI893" t="s">
        <v>212</v>
      </c>
      <c r="BJ893" t="s">
        <v>213</v>
      </c>
      <c r="BK893" t="s">
        <v>214</v>
      </c>
      <c r="BL893" t="s">
        <v>357</v>
      </c>
      <c r="BN893" t="s">
        <v>247</v>
      </c>
      <c r="BO893" t="s">
        <v>209</v>
      </c>
      <c r="BP893" t="s">
        <v>241</v>
      </c>
      <c r="BQ893">
        <v>3</v>
      </c>
      <c r="BS893" t="s">
        <v>220</v>
      </c>
      <c r="BU893" t="s">
        <v>212</v>
      </c>
      <c r="BZ893" t="s">
        <v>571</v>
      </c>
      <c r="CA893" t="s">
        <v>287</v>
      </c>
      <c r="CC893" t="s">
        <v>209</v>
      </c>
      <c r="CE893" t="s">
        <v>242</v>
      </c>
      <c r="CJ893" t="s">
        <v>206</v>
      </c>
      <c r="CK893" t="s">
        <v>230</v>
      </c>
      <c r="CL893" t="s">
        <v>231</v>
      </c>
      <c r="CM893" t="s">
        <v>232</v>
      </c>
      <c r="CN893" t="s">
        <v>233</v>
      </c>
      <c r="CP893" t="s">
        <v>212</v>
      </c>
      <c r="CQ893" t="s">
        <v>212</v>
      </c>
      <c r="CR893" t="s">
        <v>212</v>
      </c>
      <c r="CS893" t="s">
        <v>212</v>
      </c>
      <c r="CY893" t="s">
        <v>212</v>
      </c>
      <c r="DB893" t="s">
        <v>2147</v>
      </c>
      <c r="DC893" t="str">
        <f>"№1950  Легкие нарушения интеллекта"</f>
        <v>№1950  Легкие нарушения интеллекта</v>
      </c>
      <c r="DD893" t="str">
        <f>"2023-09-22T00:00:00"</f>
        <v>2023-09-22T00:00:00</v>
      </c>
      <c r="DE893" t="s">
        <v>212</v>
      </c>
      <c r="DF893" t="s">
        <v>206</v>
      </c>
      <c r="DG893" t="s">
        <v>235</v>
      </c>
      <c r="DH893" t="s">
        <v>212</v>
      </c>
      <c r="DJ893" t="s">
        <v>236</v>
      </c>
      <c r="DM893" t="s">
        <v>212</v>
      </c>
    </row>
    <row r="894" spans="1:117" x14ac:dyDescent="0.3">
      <c r="A894">
        <v>26833624</v>
      </c>
      <c r="B894">
        <v>177527</v>
      </c>
      <c r="C894" t="str">
        <f>"071013553199"</f>
        <v>071013553199</v>
      </c>
      <c r="D894" t="s">
        <v>1473</v>
      </c>
      <c r="E894" t="s">
        <v>2148</v>
      </c>
      <c r="F894" t="s">
        <v>2149</v>
      </c>
      <c r="G894" s="1">
        <v>39368</v>
      </c>
      <c r="I894" t="s">
        <v>240</v>
      </c>
      <c r="J894" t="s">
        <v>200</v>
      </c>
      <c r="K894" t="s">
        <v>201</v>
      </c>
      <c r="Q894" t="s">
        <v>212</v>
      </c>
      <c r="R894" t="str">
        <f>"КАЗАХСТАН, АКМОЛИНСКАЯ, СТЕПНОГОРСК, Бестобе, 6, 5"</f>
        <v>КАЗАХСТАН, АКМОЛИНСКАЯ, СТЕПНОГОРСК, Бестобе, 6, 5</v>
      </c>
      <c r="S894" t="str">
        <f>"ҚАЗАҚСТАН, АҚМОЛА, СТЕПНОГОР, Бестобе, 6, 5"</f>
        <v>ҚАЗАҚСТАН, АҚМОЛА, СТЕПНОГОР, Бестобе, 6, 5</v>
      </c>
      <c r="T894" t="str">
        <f>"Бестобе, 6, 5"</f>
        <v>Бестобе, 6, 5</v>
      </c>
      <c r="U894" t="str">
        <f>"Бестобе, 6, 5"</f>
        <v>Бестобе, 6, 5</v>
      </c>
      <c r="AC894" t="str">
        <f>"2023-11-06T00:00:00"</f>
        <v>2023-11-06T00:00:00</v>
      </c>
      <c r="AD894" t="str">
        <f>"100"</f>
        <v>100</v>
      </c>
      <c r="AG894" t="s">
        <v>202</v>
      </c>
      <c r="AH894" t="str">
        <f>"ayeslyam@internet.ru"</f>
        <v>ayeslyam@internet.ru</v>
      </c>
      <c r="AI894" t="s">
        <v>274</v>
      </c>
      <c r="AJ894" t="s">
        <v>1157</v>
      </c>
      <c r="AK894" t="s">
        <v>253</v>
      </c>
      <c r="AL894" t="s">
        <v>206</v>
      </c>
      <c r="AN894" t="s">
        <v>254</v>
      </c>
      <c r="AO894">
        <v>1</v>
      </c>
      <c r="AP894" t="s">
        <v>208</v>
      </c>
      <c r="AQ894" t="s">
        <v>209</v>
      </c>
      <c r="AR894" t="s">
        <v>210</v>
      </c>
      <c r="AW894" t="s">
        <v>206</v>
      </c>
      <c r="AX894" t="s">
        <v>211</v>
      </c>
      <c r="AZ894" t="s">
        <v>209</v>
      </c>
      <c r="BI894" t="s">
        <v>212</v>
      </c>
      <c r="BJ894" t="s">
        <v>213</v>
      </c>
      <c r="BK894" t="s">
        <v>214</v>
      </c>
      <c r="BL894" t="s">
        <v>215</v>
      </c>
      <c r="BN894" t="s">
        <v>247</v>
      </c>
      <c r="BO894" t="s">
        <v>209</v>
      </c>
      <c r="BP894" t="s">
        <v>2150</v>
      </c>
      <c r="BQ894" t="s">
        <v>2151</v>
      </c>
      <c r="BS894" t="s">
        <v>219</v>
      </c>
      <c r="BT894" t="s">
        <v>220</v>
      </c>
      <c r="BU894" t="s">
        <v>206</v>
      </c>
      <c r="CA894" t="s">
        <v>287</v>
      </c>
      <c r="CC894" t="s">
        <v>209</v>
      </c>
      <c r="CE894" t="s">
        <v>242</v>
      </c>
      <c r="CJ894" t="s">
        <v>206</v>
      </c>
      <c r="CK894" t="s">
        <v>230</v>
      </c>
      <c r="CL894" t="s">
        <v>231</v>
      </c>
      <c r="CM894" t="s">
        <v>232</v>
      </c>
      <c r="CN894" t="s">
        <v>233</v>
      </c>
      <c r="CP894" t="s">
        <v>212</v>
      </c>
      <c r="CQ894" t="s">
        <v>212</v>
      </c>
      <c r="CR894" t="s">
        <v>212</v>
      </c>
      <c r="CS894" t="s">
        <v>212</v>
      </c>
      <c r="CY894" t="s">
        <v>212</v>
      </c>
      <c r="DB894" t="s">
        <v>234</v>
      </c>
      <c r="DE894" t="s">
        <v>212</v>
      </c>
      <c r="DF894" t="s">
        <v>212</v>
      </c>
      <c r="DG894" t="s">
        <v>235</v>
      </c>
      <c r="DH894" t="s">
        <v>212</v>
      </c>
      <c r="DJ894" t="s">
        <v>421</v>
      </c>
      <c r="DK894" t="s">
        <v>707</v>
      </c>
      <c r="DL894" t="s">
        <v>423</v>
      </c>
      <c r="DM894" t="s">
        <v>206</v>
      </c>
    </row>
    <row r="895" spans="1:117" x14ac:dyDescent="0.3">
      <c r="A895">
        <v>26833633</v>
      </c>
      <c r="B895">
        <v>178441</v>
      </c>
      <c r="C895" t="str">
        <f>"090104653606"</f>
        <v>090104653606</v>
      </c>
      <c r="D895" t="s">
        <v>1473</v>
      </c>
      <c r="E895" t="s">
        <v>2152</v>
      </c>
      <c r="F895" t="s">
        <v>1475</v>
      </c>
      <c r="G895" s="1">
        <v>39817</v>
      </c>
      <c r="I895" t="s">
        <v>199</v>
      </c>
      <c r="J895" t="s">
        <v>200</v>
      </c>
      <c r="K895" t="s">
        <v>201</v>
      </c>
      <c r="Q895" t="s">
        <v>212</v>
      </c>
      <c r="R895" t="str">
        <f>"КАЗАХСТАН, АКМОЛИНСКАЯ, СТЕПНОГОРСК, Изобильное, 4, 1"</f>
        <v>КАЗАХСТАН, АКМОЛИНСКАЯ, СТЕПНОГОРСК, Изобильное, 4, 1</v>
      </c>
      <c r="S895" t="str">
        <f>"ҚАЗАҚСТАН, АҚМОЛА, СТЕПНОГОР, Изобильное, 4, 1"</f>
        <v>ҚАЗАҚСТАН, АҚМОЛА, СТЕПНОГОР, Изобильное, 4, 1</v>
      </c>
      <c r="T895" t="str">
        <f t="shared" ref="T895:U897" si="50">"Изобильное, 4, 1"</f>
        <v>Изобильное, 4, 1</v>
      </c>
      <c r="U895" t="str">
        <f t="shared" si="50"/>
        <v>Изобильное, 4, 1</v>
      </c>
      <c r="AC895" t="str">
        <f>"2023-11-06T00:00:00"</f>
        <v>2023-11-06T00:00:00</v>
      </c>
      <c r="AD895" t="str">
        <f>"100"</f>
        <v>100</v>
      </c>
      <c r="AG895" t="s">
        <v>202</v>
      </c>
      <c r="AH895" t="str">
        <f>"eslyamzhanz@gmail.com"</f>
        <v>eslyamzhanz@gmail.com</v>
      </c>
      <c r="AI895" t="s">
        <v>274</v>
      </c>
      <c r="AJ895" t="s">
        <v>204</v>
      </c>
      <c r="AK895" t="s">
        <v>253</v>
      </c>
      <c r="AL895" t="s">
        <v>206</v>
      </c>
      <c r="AN895" t="s">
        <v>254</v>
      </c>
      <c r="AO895">
        <v>1</v>
      </c>
      <c r="AP895" t="s">
        <v>208</v>
      </c>
      <c r="AQ895" t="s">
        <v>209</v>
      </c>
      <c r="AR895" t="s">
        <v>210</v>
      </c>
      <c r="AW895" t="s">
        <v>206</v>
      </c>
      <c r="AX895" t="s">
        <v>211</v>
      </c>
      <c r="AZ895" t="s">
        <v>209</v>
      </c>
      <c r="BI895" t="s">
        <v>212</v>
      </c>
      <c r="BJ895" t="s">
        <v>213</v>
      </c>
      <c r="BK895" t="s">
        <v>214</v>
      </c>
      <c r="BL895" t="s">
        <v>215</v>
      </c>
      <c r="BN895" t="s">
        <v>216</v>
      </c>
      <c r="BO895" t="s">
        <v>209</v>
      </c>
      <c r="BP895" t="s">
        <v>2150</v>
      </c>
      <c r="BQ895" t="s">
        <v>2153</v>
      </c>
      <c r="BS895" t="s">
        <v>219</v>
      </c>
      <c r="BT895" t="s">
        <v>220</v>
      </c>
      <c r="BU895" t="s">
        <v>206</v>
      </c>
      <c r="CA895" t="s">
        <v>287</v>
      </c>
      <c r="CC895" t="s">
        <v>209</v>
      </c>
      <c r="CE895" t="s">
        <v>242</v>
      </c>
      <c r="CJ895" t="s">
        <v>206</v>
      </c>
      <c r="CK895" t="s">
        <v>230</v>
      </c>
      <c r="CL895" t="s">
        <v>231</v>
      </c>
      <c r="CM895" t="s">
        <v>232</v>
      </c>
      <c r="CN895" t="s">
        <v>233</v>
      </c>
      <c r="CP895" t="s">
        <v>212</v>
      </c>
      <c r="CQ895" t="s">
        <v>212</v>
      </c>
      <c r="CR895" t="s">
        <v>212</v>
      </c>
      <c r="CS895" t="s">
        <v>212</v>
      </c>
      <c r="CY895" t="s">
        <v>212</v>
      </c>
      <c r="DB895" t="s">
        <v>234</v>
      </c>
      <c r="DE895" t="s">
        <v>212</v>
      </c>
      <c r="DF895" t="s">
        <v>212</v>
      </c>
      <c r="DG895" t="s">
        <v>235</v>
      </c>
      <c r="DH895" t="s">
        <v>212</v>
      </c>
      <c r="DJ895" t="s">
        <v>421</v>
      </c>
      <c r="DK895" t="s">
        <v>707</v>
      </c>
      <c r="DL895" t="s">
        <v>423</v>
      </c>
      <c r="DM895" t="s">
        <v>206</v>
      </c>
    </row>
    <row r="896" spans="1:117" x14ac:dyDescent="0.3">
      <c r="A896">
        <v>26833647</v>
      </c>
      <c r="B896">
        <v>179587</v>
      </c>
      <c r="C896" t="str">
        <f>"130827604094"</f>
        <v>130827604094</v>
      </c>
      <c r="D896" t="s">
        <v>1473</v>
      </c>
      <c r="E896" t="s">
        <v>2154</v>
      </c>
      <c r="F896" t="s">
        <v>1475</v>
      </c>
      <c r="G896" s="1">
        <v>41513</v>
      </c>
      <c r="I896" t="s">
        <v>199</v>
      </c>
      <c r="J896" t="s">
        <v>200</v>
      </c>
      <c r="K896" t="s">
        <v>201</v>
      </c>
      <c r="Q896" t="s">
        <v>212</v>
      </c>
      <c r="R896" t="str">
        <f>"КАЗАХСТАН, АКМОЛИНСКАЯ, СТЕПНОГОРСК, Изобильное, 4, 1"</f>
        <v>КАЗАХСТАН, АКМОЛИНСКАЯ, СТЕПНОГОРСК, Изобильное, 4, 1</v>
      </c>
      <c r="S896" t="str">
        <f>"ҚАЗАҚСТАН, АҚМОЛА, СТЕПНОГОР, Изобильное, 4, 1"</f>
        <v>ҚАЗАҚСТАН, АҚМОЛА, СТЕПНОГОР, Изобильное, 4, 1</v>
      </c>
      <c r="T896" t="str">
        <f t="shared" si="50"/>
        <v>Изобильное, 4, 1</v>
      </c>
      <c r="U896" t="str">
        <f t="shared" si="50"/>
        <v>Изобильное, 4, 1</v>
      </c>
      <c r="AC896" t="str">
        <f>"2023-11-06T00:00:00"</f>
        <v>2023-11-06T00:00:00</v>
      </c>
      <c r="AD896" t="str">
        <f>"100"</f>
        <v>100</v>
      </c>
      <c r="AG896" t="s">
        <v>202</v>
      </c>
      <c r="AI896" t="s">
        <v>274</v>
      </c>
      <c r="AJ896" t="s">
        <v>419</v>
      </c>
      <c r="AK896" t="s">
        <v>434</v>
      </c>
      <c r="AL896" t="s">
        <v>206</v>
      </c>
      <c r="AN896" t="s">
        <v>254</v>
      </c>
      <c r="AO896">
        <v>1</v>
      </c>
      <c r="AP896" t="s">
        <v>208</v>
      </c>
      <c r="AQ896" t="s">
        <v>209</v>
      </c>
      <c r="AR896" t="s">
        <v>210</v>
      </c>
      <c r="AW896" t="s">
        <v>206</v>
      </c>
      <c r="AX896" t="s">
        <v>211</v>
      </c>
      <c r="AZ896" t="s">
        <v>209</v>
      </c>
      <c r="BI896" t="s">
        <v>212</v>
      </c>
      <c r="BJ896" t="s">
        <v>213</v>
      </c>
      <c r="BK896" t="s">
        <v>214</v>
      </c>
      <c r="BL896" t="s">
        <v>215</v>
      </c>
      <c r="BN896" t="s">
        <v>216</v>
      </c>
      <c r="BO896" t="s">
        <v>209</v>
      </c>
      <c r="BP896" t="s">
        <v>241</v>
      </c>
      <c r="BQ896">
        <v>4</v>
      </c>
      <c r="BS896" t="s">
        <v>219</v>
      </c>
      <c r="BT896" t="s">
        <v>220</v>
      </c>
      <c r="BU896" t="s">
        <v>206</v>
      </c>
      <c r="CA896" t="s">
        <v>287</v>
      </c>
      <c r="CC896" t="s">
        <v>209</v>
      </c>
      <c r="CE896" t="s">
        <v>242</v>
      </c>
      <c r="CJ896" t="s">
        <v>206</v>
      </c>
      <c r="CK896" t="s">
        <v>230</v>
      </c>
      <c r="CL896" t="s">
        <v>231</v>
      </c>
      <c r="CM896" t="s">
        <v>232</v>
      </c>
      <c r="CN896" t="s">
        <v>233</v>
      </c>
      <c r="CP896" t="s">
        <v>212</v>
      </c>
      <c r="CQ896" t="s">
        <v>212</v>
      </c>
      <c r="CR896" t="s">
        <v>212</v>
      </c>
      <c r="CS896" t="s">
        <v>212</v>
      </c>
      <c r="CY896" t="s">
        <v>212</v>
      </c>
      <c r="DB896" t="s">
        <v>234</v>
      </c>
      <c r="DE896" t="s">
        <v>212</v>
      </c>
      <c r="DF896" t="s">
        <v>212</v>
      </c>
      <c r="DG896" t="s">
        <v>235</v>
      </c>
      <c r="DH896" t="s">
        <v>212</v>
      </c>
      <c r="DJ896" t="s">
        <v>421</v>
      </c>
      <c r="DK896" t="s">
        <v>707</v>
      </c>
      <c r="DL896" t="s">
        <v>423</v>
      </c>
      <c r="DM896" t="s">
        <v>206</v>
      </c>
    </row>
    <row r="897" spans="1:117" x14ac:dyDescent="0.3">
      <c r="A897">
        <v>26833683</v>
      </c>
      <c r="B897">
        <v>12602627</v>
      </c>
      <c r="C897" t="str">
        <f>"160817505641"</f>
        <v>160817505641</v>
      </c>
      <c r="D897" t="s">
        <v>1473</v>
      </c>
      <c r="E897" t="s">
        <v>2155</v>
      </c>
      <c r="F897" t="s">
        <v>2149</v>
      </c>
      <c r="G897" s="1">
        <v>42599</v>
      </c>
      <c r="I897" t="s">
        <v>240</v>
      </c>
      <c r="J897" t="s">
        <v>200</v>
      </c>
      <c r="K897" t="s">
        <v>201</v>
      </c>
      <c r="Q897" t="s">
        <v>212</v>
      </c>
      <c r="R897" t="str">
        <f>"КАЗАХСТАН, АКМОЛИНСКАЯ, СТЕПНОГОРСК, Изобильное, 4, 1"</f>
        <v>КАЗАХСТАН, АКМОЛИНСКАЯ, СТЕПНОГОРСК, Изобильное, 4, 1</v>
      </c>
      <c r="S897" t="str">
        <f>"ҚАЗАҚСТАН, АҚМОЛА, СТЕПНОГОР, Изобильное, 4, 1"</f>
        <v>ҚАЗАҚСТАН, АҚМОЛА, СТЕПНОГОР, Изобильное, 4, 1</v>
      </c>
      <c r="T897" t="str">
        <f t="shared" si="50"/>
        <v>Изобильное, 4, 1</v>
      </c>
      <c r="U897" t="str">
        <f t="shared" si="50"/>
        <v>Изобильное, 4, 1</v>
      </c>
      <c r="AC897" t="str">
        <f>"2023-11-06T00:00:00"</f>
        <v>2023-11-06T00:00:00</v>
      </c>
      <c r="AD897" t="str">
        <f>"100"</f>
        <v>100</v>
      </c>
      <c r="AG897" t="s">
        <v>202</v>
      </c>
      <c r="AI897" t="s">
        <v>274</v>
      </c>
      <c r="AJ897" t="s">
        <v>570</v>
      </c>
      <c r="AK897" t="s">
        <v>434</v>
      </c>
      <c r="AL897" t="s">
        <v>206</v>
      </c>
      <c r="AN897" t="s">
        <v>254</v>
      </c>
      <c r="AO897">
        <v>2</v>
      </c>
      <c r="AP897" t="s">
        <v>208</v>
      </c>
      <c r="AQ897" t="s">
        <v>209</v>
      </c>
      <c r="AR897" t="s">
        <v>210</v>
      </c>
      <c r="AW897" t="s">
        <v>206</v>
      </c>
      <c r="AX897" t="s">
        <v>211</v>
      </c>
      <c r="AZ897" t="s">
        <v>209</v>
      </c>
      <c r="BI897" t="s">
        <v>212</v>
      </c>
      <c r="BJ897" t="s">
        <v>213</v>
      </c>
      <c r="BK897" t="s">
        <v>214</v>
      </c>
      <c r="BL897" t="s">
        <v>357</v>
      </c>
      <c r="BN897" t="s">
        <v>247</v>
      </c>
      <c r="BO897" t="s">
        <v>209</v>
      </c>
      <c r="BP897" t="s">
        <v>241</v>
      </c>
      <c r="BQ897">
        <v>3</v>
      </c>
      <c r="BS897" t="s">
        <v>220</v>
      </c>
      <c r="BU897" t="s">
        <v>212</v>
      </c>
      <c r="BZ897" t="s">
        <v>571</v>
      </c>
      <c r="CA897" t="s">
        <v>287</v>
      </c>
      <c r="CC897" t="s">
        <v>209</v>
      </c>
      <c r="CE897" t="s">
        <v>242</v>
      </c>
      <c r="CJ897" t="s">
        <v>206</v>
      </c>
      <c r="CK897" t="s">
        <v>230</v>
      </c>
      <c r="CL897" t="s">
        <v>231</v>
      </c>
      <c r="CM897" t="s">
        <v>232</v>
      </c>
      <c r="CN897" t="s">
        <v>233</v>
      </c>
      <c r="CP897" t="s">
        <v>212</v>
      </c>
      <c r="CQ897" t="s">
        <v>212</v>
      </c>
      <c r="CR897" t="s">
        <v>212</v>
      </c>
      <c r="CS897" t="s">
        <v>212</v>
      </c>
      <c r="CY897" t="s">
        <v>212</v>
      </c>
      <c r="DB897" t="s">
        <v>234</v>
      </c>
      <c r="DE897" t="s">
        <v>212</v>
      </c>
      <c r="DF897" t="s">
        <v>212</v>
      </c>
      <c r="DG897" t="s">
        <v>235</v>
      </c>
      <c r="DH897" t="s">
        <v>212</v>
      </c>
      <c r="DJ897" t="s">
        <v>421</v>
      </c>
      <c r="DK897" t="s">
        <v>707</v>
      </c>
      <c r="DL897" t="s">
        <v>423</v>
      </c>
      <c r="DM897" t="s">
        <v>206</v>
      </c>
    </row>
    <row r="898" spans="1:117" x14ac:dyDescent="0.3">
      <c r="A898">
        <v>27025595</v>
      </c>
      <c r="B898">
        <v>9006589</v>
      </c>
      <c r="C898" t="str">
        <f>"170217505186"</f>
        <v>170217505186</v>
      </c>
      <c r="D898" t="s">
        <v>2156</v>
      </c>
      <c r="E898" t="s">
        <v>1258</v>
      </c>
      <c r="F898" t="s">
        <v>316</v>
      </c>
      <c r="G898" s="1">
        <v>42783</v>
      </c>
      <c r="I898" t="s">
        <v>240</v>
      </c>
      <c r="J898" t="s">
        <v>200</v>
      </c>
      <c r="K898" t="s">
        <v>201</v>
      </c>
      <c r="Q898" t="s">
        <v>212</v>
      </c>
      <c r="R898" t="str">
        <f>"КАЗАХСТАН, АКМОЛИНСКАЯ, СТЕПНОГОРСК, Бестобе, 3, 10"</f>
        <v>КАЗАХСТАН, АКМОЛИНСКАЯ, СТЕПНОГОРСК, Бестобе, 3, 10</v>
      </c>
      <c r="S898" t="str">
        <f>"ҚАЗАҚСТАН, АҚМОЛА, СТЕПНОГОР, Бестобе, 3, 10"</f>
        <v>ҚАЗАҚСТАН, АҚМОЛА, СТЕПНОГОР, Бестобе, 3, 10</v>
      </c>
      <c r="T898" t="str">
        <f>"Бестобе, 3, 10"</f>
        <v>Бестобе, 3, 10</v>
      </c>
      <c r="U898" t="str">
        <f>"Бестобе, 3, 10"</f>
        <v>Бестобе, 3, 10</v>
      </c>
      <c r="AC898" t="str">
        <f>"2024-01-09T00:00:00"</f>
        <v>2024-01-09T00:00:00</v>
      </c>
      <c r="AD898" t="str">
        <f>"8"</f>
        <v>8</v>
      </c>
      <c r="AE898" t="str">
        <f>"2023-09-01T11:07:50"</f>
        <v>2023-09-01T11:07:50</v>
      </c>
      <c r="AF898" t="str">
        <f>"2024-05-25T11:07:50"</f>
        <v>2024-05-25T11:07:50</v>
      </c>
      <c r="AG898" t="s">
        <v>202</v>
      </c>
      <c r="AI898" t="s">
        <v>269</v>
      </c>
      <c r="AJ898" t="s">
        <v>660</v>
      </c>
      <c r="AK898" t="s">
        <v>253</v>
      </c>
      <c r="AL898" t="s">
        <v>206</v>
      </c>
      <c r="AN898" t="s">
        <v>254</v>
      </c>
      <c r="AO898">
        <v>1</v>
      </c>
      <c r="AP898" t="s">
        <v>208</v>
      </c>
      <c r="AQ898" t="s">
        <v>209</v>
      </c>
      <c r="AR898" t="s">
        <v>502</v>
      </c>
      <c r="AW898" t="s">
        <v>212</v>
      </c>
      <c r="AZ898" t="s">
        <v>209</v>
      </c>
      <c r="BI898" t="s">
        <v>212</v>
      </c>
      <c r="BJ898" t="s">
        <v>213</v>
      </c>
      <c r="BK898" t="s">
        <v>214</v>
      </c>
      <c r="BL898" t="s">
        <v>357</v>
      </c>
      <c r="BN898" t="s">
        <v>661</v>
      </c>
      <c r="BO898" t="s">
        <v>209</v>
      </c>
      <c r="BS898" t="s">
        <v>220</v>
      </c>
      <c r="BU898" t="s">
        <v>212</v>
      </c>
      <c r="BZ898" t="s">
        <v>1504</v>
      </c>
      <c r="CA898" t="s">
        <v>287</v>
      </c>
      <c r="CC898" t="s">
        <v>209</v>
      </c>
      <c r="CE898" t="s">
        <v>242</v>
      </c>
      <c r="CJ898" t="s">
        <v>206</v>
      </c>
      <c r="CK898" t="s">
        <v>230</v>
      </c>
      <c r="CL898" t="s">
        <v>231</v>
      </c>
      <c r="CM898" t="s">
        <v>232</v>
      </c>
      <c r="CN898" t="s">
        <v>233</v>
      </c>
      <c r="CP898" t="s">
        <v>212</v>
      </c>
      <c r="CQ898" t="s">
        <v>212</v>
      </c>
      <c r="CR898" t="s">
        <v>212</v>
      </c>
      <c r="CS898" t="s">
        <v>212</v>
      </c>
      <c r="CY898" t="s">
        <v>212</v>
      </c>
      <c r="DB898" t="s">
        <v>234</v>
      </c>
      <c r="DE898" t="s">
        <v>212</v>
      </c>
      <c r="DF898" t="s">
        <v>212</v>
      </c>
      <c r="DG898" t="s">
        <v>235</v>
      </c>
      <c r="DH898" t="s">
        <v>212</v>
      </c>
      <c r="DJ898" t="s">
        <v>236</v>
      </c>
      <c r="DM898" t="s">
        <v>212</v>
      </c>
    </row>
    <row r="899" spans="1:117" x14ac:dyDescent="0.3">
      <c r="A899">
        <v>27032370</v>
      </c>
      <c r="B899">
        <v>145912</v>
      </c>
      <c r="C899" t="str">
        <f>"080128652191"</f>
        <v>080128652191</v>
      </c>
      <c r="D899" t="s">
        <v>1491</v>
      </c>
      <c r="E899" t="s">
        <v>931</v>
      </c>
      <c r="F899" t="s">
        <v>418</v>
      </c>
      <c r="G899" s="1">
        <v>39475</v>
      </c>
      <c r="I899" t="s">
        <v>199</v>
      </c>
      <c r="J899" t="s">
        <v>200</v>
      </c>
      <c r="K899" t="s">
        <v>201</v>
      </c>
      <c r="Q899" t="s">
        <v>212</v>
      </c>
      <c r="R899" t="str">
        <f>"КАЗАХСТАН, АСТАНА, БАЙКОНЫРСКИЙ РАЙОН, 3/1, 14"</f>
        <v>КАЗАХСТАН, АСТАНА, БАЙКОНЫРСКИЙ РАЙОН, 3/1, 14</v>
      </c>
      <c r="S899" t="str">
        <f>"ҚАЗАҚСТАН, АСТАНА, БАЙҚОҢЫР АУДАНЫ, 3/1, 14"</f>
        <v>ҚАЗАҚСТАН, АСТАНА, БАЙҚОҢЫР АУДАНЫ, 3/1, 14</v>
      </c>
      <c r="T899" t="str">
        <f>"3/1, 14"</f>
        <v>3/1, 14</v>
      </c>
      <c r="U899" t="str">
        <f>"3/1, 14"</f>
        <v>3/1, 14</v>
      </c>
      <c r="AC899" t="str">
        <f>"2024-01-09T00:00:00"</f>
        <v>2024-01-09T00:00:00</v>
      </c>
      <c r="AD899" t="str">
        <f>"7"</f>
        <v>7</v>
      </c>
      <c r="AE899" t="str">
        <f>"2023-09-01T11:54:26"</f>
        <v>2023-09-01T11:54:26</v>
      </c>
      <c r="AF899" t="str">
        <f>"2024-05-25T11:54:26"</f>
        <v>2024-05-25T11:54:26</v>
      </c>
      <c r="AG899" t="s">
        <v>646</v>
      </c>
      <c r="AH899" t="str">
        <f>"asilay.nurlankyzy@mail.ru"</f>
        <v>asilay.nurlankyzy@mail.ru</v>
      </c>
      <c r="AI899" t="s">
        <v>203</v>
      </c>
      <c r="AJ899" t="s">
        <v>1157</v>
      </c>
      <c r="AK899" t="s">
        <v>253</v>
      </c>
      <c r="AL899" t="s">
        <v>206</v>
      </c>
      <c r="AN899" t="s">
        <v>254</v>
      </c>
      <c r="AO899">
        <v>1</v>
      </c>
      <c r="AP899" t="s">
        <v>208</v>
      </c>
      <c r="AQ899" t="s">
        <v>209</v>
      </c>
      <c r="AR899" t="s">
        <v>502</v>
      </c>
      <c r="AW899" t="s">
        <v>212</v>
      </c>
      <c r="AZ899" t="s">
        <v>209</v>
      </c>
      <c r="BI899" t="s">
        <v>212</v>
      </c>
      <c r="BJ899" t="s">
        <v>213</v>
      </c>
      <c r="BK899" t="s">
        <v>214</v>
      </c>
      <c r="BL899" t="s">
        <v>215</v>
      </c>
      <c r="BN899" t="s">
        <v>247</v>
      </c>
      <c r="BO899" t="s">
        <v>209</v>
      </c>
      <c r="BP899" t="s">
        <v>241</v>
      </c>
      <c r="BQ899">
        <v>3</v>
      </c>
      <c r="BS899" t="s">
        <v>219</v>
      </c>
      <c r="BT899" t="s">
        <v>220</v>
      </c>
      <c r="BU899" t="s">
        <v>206</v>
      </c>
      <c r="CA899" t="s">
        <v>287</v>
      </c>
      <c r="CC899" t="s">
        <v>2157</v>
      </c>
      <c r="CD899" t="s">
        <v>1349</v>
      </c>
      <c r="CE899" t="s">
        <v>242</v>
      </c>
      <c r="CJ899" t="s">
        <v>206</v>
      </c>
      <c r="CK899" t="s">
        <v>230</v>
      </c>
      <c r="CL899" t="s">
        <v>231</v>
      </c>
      <c r="CM899" t="s">
        <v>232</v>
      </c>
      <c r="CN899" t="s">
        <v>233</v>
      </c>
      <c r="CP899" t="s">
        <v>212</v>
      </c>
      <c r="CQ899" t="s">
        <v>212</v>
      </c>
      <c r="CR899" t="s">
        <v>212</v>
      </c>
      <c r="CS899" t="s">
        <v>212</v>
      </c>
      <c r="CY899" t="s">
        <v>212</v>
      </c>
      <c r="DB899" t="s">
        <v>234</v>
      </c>
      <c r="DE899" t="s">
        <v>212</v>
      </c>
      <c r="DF899" t="s">
        <v>212</v>
      </c>
      <c r="DG899" t="s">
        <v>235</v>
      </c>
      <c r="DH899" t="s">
        <v>212</v>
      </c>
      <c r="DJ899" t="s">
        <v>236</v>
      </c>
      <c r="DM899" t="s">
        <v>212</v>
      </c>
    </row>
    <row r="900" spans="1:117" x14ac:dyDescent="0.3">
      <c r="A900">
        <v>27066055</v>
      </c>
      <c r="B900">
        <v>5177108</v>
      </c>
      <c r="C900" t="str">
        <f>"140623501313"</f>
        <v>140623501313</v>
      </c>
      <c r="D900" t="s">
        <v>2158</v>
      </c>
      <c r="E900" t="s">
        <v>2159</v>
      </c>
      <c r="F900" t="s">
        <v>2160</v>
      </c>
      <c r="G900" s="1">
        <v>41813</v>
      </c>
      <c r="I900" t="s">
        <v>240</v>
      </c>
      <c r="J900" t="s">
        <v>200</v>
      </c>
      <c r="K900" t="s">
        <v>369</v>
      </c>
      <c r="Q900" t="s">
        <v>212</v>
      </c>
      <c r="R900" t="str">
        <f>"КАЗАХСТАН, С-КАЗАХСТАНСКАЯ, ГАБИТА МУСРЕПОВА Р-Н, Дружбинский, Целинное, 15, 2"</f>
        <v>КАЗАХСТАН, С-КАЗАХСТАНСКАЯ, ГАБИТА МУСРЕПОВА Р-Н, Дружбинский, Целинное, 15, 2</v>
      </c>
      <c r="S900" t="str">
        <f>"ҚАЗАҚСТАН, СОЛ-ҚАЗАҚСТАН, ҒАБИТ МҮСІРЕПОВ АУДАНЫ, Дружбинский, Целинное, 15, 2"</f>
        <v>ҚАЗАҚСТАН, СОЛ-ҚАЗАҚСТАН, ҒАБИТ МҮСІРЕПОВ АУДАНЫ, Дружбинский, Целинное, 15, 2</v>
      </c>
      <c r="T900" t="str">
        <f>"Дружбинский, Целинное, 15, 2"</f>
        <v>Дружбинский, Целинное, 15, 2</v>
      </c>
      <c r="U900" t="str">
        <f>"Дружбинский, Целинное, 15, 2"</f>
        <v>Дружбинский, Целинное, 15, 2</v>
      </c>
      <c r="AC900" t="str">
        <f>"2024-01-17T00:00:00"</f>
        <v>2024-01-17T00:00:00</v>
      </c>
      <c r="AD900" t="str">
        <f>"9"</f>
        <v>9</v>
      </c>
      <c r="AE900" t="str">
        <f>"2023-09-01T09:57:30"</f>
        <v>2023-09-01T09:57:30</v>
      </c>
      <c r="AF900" t="str">
        <f>"2024-05-25T09:57:30"</f>
        <v>2024-05-25T09:57:30</v>
      </c>
      <c r="AG900" t="s">
        <v>646</v>
      </c>
      <c r="AI900" t="s">
        <v>299</v>
      </c>
      <c r="AJ900" t="s">
        <v>501</v>
      </c>
      <c r="AK900" t="s">
        <v>205</v>
      </c>
      <c r="AL900" t="s">
        <v>206</v>
      </c>
      <c r="AN900" t="s">
        <v>207</v>
      </c>
      <c r="AO900">
        <v>1</v>
      </c>
      <c r="AP900" t="s">
        <v>208</v>
      </c>
      <c r="AQ900" t="s">
        <v>209</v>
      </c>
      <c r="AR900" t="s">
        <v>210</v>
      </c>
      <c r="AW900" t="s">
        <v>206</v>
      </c>
      <c r="AX900" t="s">
        <v>211</v>
      </c>
      <c r="AZ900" t="s">
        <v>209</v>
      </c>
      <c r="BI900" t="s">
        <v>212</v>
      </c>
      <c r="BJ900" t="s">
        <v>213</v>
      </c>
      <c r="BK900" t="s">
        <v>214</v>
      </c>
      <c r="BL900" t="s">
        <v>357</v>
      </c>
      <c r="BN900" t="s">
        <v>247</v>
      </c>
      <c r="BO900" t="s">
        <v>209</v>
      </c>
      <c r="BP900" t="s">
        <v>241</v>
      </c>
      <c r="BQ900">
        <v>3</v>
      </c>
      <c r="BS900" t="s">
        <v>219</v>
      </c>
      <c r="BT900" t="s">
        <v>220</v>
      </c>
      <c r="BU900" t="s">
        <v>206</v>
      </c>
      <c r="BX900" t="s">
        <v>234</v>
      </c>
      <c r="BY900" t="s">
        <v>234</v>
      </c>
      <c r="BZ900" t="s">
        <v>1487</v>
      </c>
      <c r="CA900" t="s">
        <v>287</v>
      </c>
      <c r="CC900" t="s">
        <v>209</v>
      </c>
      <c r="CE900" t="s">
        <v>242</v>
      </c>
      <c r="CJ900" t="s">
        <v>206</v>
      </c>
      <c r="CK900" t="s">
        <v>230</v>
      </c>
      <c r="CL900" t="s">
        <v>231</v>
      </c>
      <c r="CM900" t="s">
        <v>232</v>
      </c>
      <c r="CN900" t="s">
        <v>233</v>
      </c>
      <c r="CP900" t="s">
        <v>212</v>
      </c>
      <c r="CQ900" t="s">
        <v>212</v>
      </c>
      <c r="CR900" t="s">
        <v>212</v>
      </c>
      <c r="CS900" t="s">
        <v>212</v>
      </c>
      <c r="CY900" t="s">
        <v>212</v>
      </c>
      <c r="DB900" t="s">
        <v>234</v>
      </c>
      <c r="DE900" t="s">
        <v>212</v>
      </c>
      <c r="DF900" t="s">
        <v>212</v>
      </c>
      <c r="DG900" t="s">
        <v>235</v>
      </c>
      <c r="DH900" t="s">
        <v>212</v>
      </c>
      <c r="DJ900" t="s">
        <v>236</v>
      </c>
      <c r="DM900" t="s">
        <v>212</v>
      </c>
    </row>
    <row r="901" spans="1:117" x14ac:dyDescent="0.3">
      <c r="A901">
        <v>27066059</v>
      </c>
      <c r="B901">
        <v>172899</v>
      </c>
      <c r="C901" t="str">
        <f>"110409500891"</f>
        <v>110409500891</v>
      </c>
      <c r="D901" t="s">
        <v>2158</v>
      </c>
      <c r="E901" t="s">
        <v>948</v>
      </c>
      <c r="F901" t="s">
        <v>2160</v>
      </c>
      <c r="G901" s="1">
        <v>40642</v>
      </c>
      <c r="I901" t="s">
        <v>240</v>
      </c>
      <c r="J901" t="s">
        <v>200</v>
      </c>
      <c r="K901" t="s">
        <v>369</v>
      </c>
      <c r="Q901" t="s">
        <v>212</v>
      </c>
      <c r="R901" t="str">
        <f>"КАЗАХСТАН, С-КАЗАХСТАНСКАЯ, ГАБИТА МУСРЕПОВА Р-Н, Дружбинский, Целинное, 15, 2"</f>
        <v>КАЗАХСТАН, С-КАЗАХСТАНСКАЯ, ГАБИТА МУСРЕПОВА Р-Н, Дружбинский, Целинное, 15, 2</v>
      </c>
      <c r="S901" t="str">
        <f>"ҚАЗАҚСТАН, СОЛ-ҚАЗАҚСТАН, ҒАБИТ МҮСІРЕПОВ АУДАНЫ, Дружбинский, Целинное, 15, 2"</f>
        <v>ҚАЗАҚСТАН, СОЛ-ҚАЗАҚСТАН, ҒАБИТ МҮСІРЕПОВ АУДАНЫ, Дружбинский, Целинное, 15, 2</v>
      </c>
      <c r="T901" t="str">
        <f>"Дружбинский, Целинное, 15, 2"</f>
        <v>Дружбинский, Целинное, 15, 2</v>
      </c>
      <c r="U901" t="str">
        <f>"Дружбинский, Целинное, 15, 2"</f>
        <v>Дружбинский, Целинное, 15, 2</v>
      </c>
      <c r="AC901" t="str">
        <f>"2024-01-17T00:00:00"</f>
        <v>2024-01-17T00:00:00</v>
      </c>
      <c r="AD901" t="str">
        <f>"9"</f>
        <v>9</v>
      </c>
      <c r="AE901" t="str">
        <f>"2023-09-01T09:59:35"</f>
        <v>2023-09-01T09:59:35</v>
      </c>
      <c r="AF901" t="str">
        <f>"2024-05-25T09:59:35"</f>
        <v>2024-05-25T09:59:35</v>
      </c>
      <c r="AG901" t="s">
        <v>646</v>
      </c>
      <c r="AI901" t="s">
        <v>269</v>
      </c>
      <c r="AJ901" t="s">
        <v>300</v>
      </c>
      <c r="AK901" t="s">
        <v>205</v>
      </c>
      <c r="AL901" t="s">
        <v>206</v>
      </c>
      <c r="AN901" t="s">
        <v>207</v>
      </c>
      <c r="AO901">
        <v>1</v>
      </c>
      <c r="AP901" t="s">
        <v>208</v>
      </c>
      <c r="AQ901" t="s">
        <v>209</v>
      </c>
      <c r="AR901" t="s">
        <v>210</v>
      </c>
      <c r="AW901" t="s">
        <v>206</v>
      </c>
      <c r="AX901" t="s">
        <v>211</v>
      </c>
      <c r="AZ901" t="s">
        <v>209</v>
      </c>
      <c r="BI901" t="s">
        <v>212</v>
      </c>
      <c r="BJ901" t="s">
        <v>213</v>
      </c>
      <c r="BK901" t="s">
        <v>214</v>
      </c>
      <c r="BL901" t="s">
        <v>357</v>
      </c>
      <c r="BN901" t="s">
        <v>247</v>
      </c>
      <c r="BO901" t="s">
        <v>209</v>
      </c>
      <c r="BP901" t="s">
        <v>241</v>
      </c>
      <c r="BQ901">
        <v>4</v>
      </c>
      <c r="BS901" t="s">
        <v>219</v>
      </c>
      <c r="BT901" t="s">
        <v>220</v>
      </c>
      <c r="BU901" t="s">
        <v>206</v>
      </c>
      <c r="BX901" t="s">
        <v>234</v>
      </c>
      <c r="BY901" t="s">
        <v>234</v>
      </c>
      <c r="CA901" t="s">
        <v>287</v>
      </c>
      <c r="CC901" t="s">
        <v>209</v>
      </c>
      <c r="CE901" t="s">
        <v>225</v>
      </c>
      <c r="CF901" t="s">
        <v>226</v>
      </c>
      <c r="CG901" t="s">
        <v>611</v>
      </c>
      <c r="CH901" t="s">
        <v>228</v>
      </c>
      <c r="CI901" t="s">
        <v>2161</v>
      </c>
      <c r="CJ901" t="s">
        <v>206</v>
      </c>
      <c r="CK901" t="s">
        <v>230</v>
      </c>
      <c r="CL901" t="s">
        <v>231</v>
      </c>
      <c r="CM901" t="s">
        <v>232</v>
      </c>
      <c r="CN901" t="s">
        <v>233</v>
      </c>
      <c r="CP901" t="s">
        <v>212</v>
      </c>
      <c r="CQ901" t="s">
        <v>212</v>
      </c>
      <c r="CR901" t="s">
        <v>212</v>
      </c>
      <c r="CS901" t="s">
        <v>212</v>
      </c>
      <c r="CY901" t="s">
        <v>212</v>
      </c>
      <c r="DB901" t="s">
        <v>234</v>
      </c>
      <c r="DE901" t="s">
        <v>212</v>
      </c>
      <c r="DF901" t="s">
        <v>212</v>
      </c>
      <c r="DG901" t="s">
        <v>235</v>
      </c>
      <c r="DH901" t="s">
        <v>212</v>
      </c>
      <c r="DJ901" t="s">
        <v>236</v>
      </c>
      <c r="DM901" t="s">
        <v>212</v>
      </c>
    </row>
    <row r="902" spans="1:117" x14ac:dyDescent="0.3">
      <c r="A902">
        <v>27187747</v>
      </c>
      <c r="B902">
        <v>5271320</v>
      </c>
      <c r="C902" t="str">
        <f>"080917555466"</f>
        <v>080917555466</v>
      </c>
      <c r="D902" t="s">
        <v>1688</v>
      </c>
      <c r="E902" t="s">
        <v>734</v>
      </c>
      <c r="F902" t="s">
        <v>411</v>
      </c>
      <c r="G902" s="1">
        <v>39708</v>
      </c>
      <c r="I902" t="s">
        <v>240</v>
      </c>
      <c r="J902" t="s">
        <v>200</v>
      </c>
      <c r="K902" t="s">
        <v>260</v>
      </c>
      <c r="R902" t="str">
        <f>"КАЗАХСТАН, С-КАЗАХСТАНСКАЯ, ГАБИТА МУСРЕПОВА Р-Н, ДРУЖБА, 38, 1"</f>
        <v>КАЗАХСТАН, С-КАЗАХСТАНСКАЯ, ГАБИТА МУСРЕПОВА Р-Н, ДРУЖБА, 38, 1</v>
      </c>
      <c r="S902" t="str">
        <f>"ҚАЗАҚСТАН, СОЛ-ҚАЗАҚСТАН, ҒАБИТ МҮСІРЕПОВ АУДАНЫ, ДРУЖБА, 38, 1"</f>
        <v>ҚАЗАҚСТАН, СОЛ-ҚАЗАҚСТАН, ҒАБИТ МҮСІРЕПОВ АУДАНЫ, ДРУЖБА, 38, 1</v>
      </c>
      <c r="T902" t="str">
        <f>"ДРУЖБА, 38, 1"</f>
        <v>ДРУЖБА, 38, 1</v>
      </c>
      <c r="U902" t="str">
        <f>"ДРУЖБА, 38, 1"</f>
        <v>ДРУЖБА, 38, 1</v>
      </c>
      <c r="AC902" t="str">
        <f>"2024-02-16T00:00:00"</f>
        <v>2024-02-16T00:00:00</v>
      </c>
      <c r="AD902" t="str">
        <f>"15"</f>
        <v>15</v>
      </c>
      <c r="AE902" t="str">
        <f>"2023-09-01T14:17:59"</f>
        <v>2023-09-01T14:17:59</v>
      </c>
      <c r="AF902" t="str">
        <f>"2024-05-25T14:17:59"</f>
        <v>2024-05-25T14:17:59</v>
      </c>
      <c r="AG902" t="s">
        <v>333</v>
      </c>
      <c r="AH902" t="str">
        <f>"alim@mail.kz"</f>
        <v>alim@mail.kz</v>
      </c>
      <c r="AI902" t="s">
        <v>299</v>
      </c>
      <c r="AJ902" t="s">
        <v>204</v>
      </c>
      <c r="AK902" t="s">
        <v>246</v>
      </c>
      <c r="AL902" t="s">
        <v>206</v>
      </c>
      <c r="AN902" t="s">
        <v>207</v>
      </c>
      <c r="AO902">
        <v>1</v>
      </c>
      <c r="AP902" t="s">
        <v>208</v>
      </c>
      <c r="AQ902" t="s">
        <v>209</v>
      </c>
      <c r="AR902" t="s">
        <v>502</v>
      </c>
      <c r="AW902" t="s">
        <v>212</v>
      </c>
      <c r="AZ902" t="s">
        <v>209</v>
      </c>
      <c r="BI902" t="s">
        <v>212</v>
      </c>
      <c r="BJ902" t="s">
        <v>213</v>
      </c>
      <c r="BK902" t="s">
        <v>214</v>
      </c>
      <c r="BL902" t="s">
        <v>215</v>
      </c>
      <c r="BN902" t="s">
        <v>247</v>
      </c>
      <c r="BO902" t="s">
        <v>209</v>
      </c>
      <c r="BP902" t="s">
        <v>241</v>
      </c>
      <c r="BQ902">
        <v>3</v>
      </c>
      <c r="BS902" t="s">
        <v>219</v>
      </c>
      <c r="BT902" t="s">
        <v>220</v>
      </c>
      <c r="BU902" t="s">
        <v>206</v>
      </c>
      <c r="CA902" t="s">
        <v>287</v>
      </c>
      <c r="CC902" t="s">
        <v>317</v>
      </c>
      <c r="CD902" t="s">
        <v>223</v>
      </c>
      <c r="CE902" t="s">
        <v>242</v>
      </c>
      <c r="CJ902" t="s">
        <v>206</v>
      </c>
      <c r="CK902" t="s">
        <v>230</v>
      </c>
      <c r="CL902" t="s">
        <v>231</v>
      </c>
      <c r="CM902" t="s">
        <v>232</v>
      </c>
      <c r="CN902" t="s">
        <v>233</v>
      </c>
      <c r="CP902" t="s">
        <v>212</v>
      </c>
      <c r="CQ902" t="s">
        <v>212</v>
      </c>
      <c r="CR902" t="s">
        <v>212</v>
      </c>
      <c r="CS902" t="s">
        <v>212</v>
      </c>
      <c r="CY902" t="s">
        <v>212</v>
      </c>
      <c r="DB902" t="s">
        <v>234</v>
      </c>
      <c r="DE902" t="s">
        <v>212</v>
      </c>
      <c r="DF902" t="s">
        <v>212</v>
      </c>
      <c r="DG902" t="s">
        <v>235</v>
      </c>
      <c r="DH902" t="s">
        <v>212</v>
      </c>
      <c r="DJ902" t="s">
        <v>236</v>
      </c>
      <c r="DM902" t="s">
        <v>212</v>
      </c>
    </row>
  </sheetData>
  <autoFilter ref="A1:GN90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Контингент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Гулзада Хуаныш</dc:creator>
  <cp:lastModifiedBy>gulek</cp:lastModifiedBy>
  <dcterms:created xsi:type="dcterms:W3CDTF">2024-02-22T06:58:57Z</dcterms:created>
  <dcterms:modified xsi:type="dcterms:W3CDTF">2024-02-22T06:59:08Z</dcterms:modified>
</cp:coreProperties>
</file>